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25" windowWidth="12120" windowHeight="6735" tabRatio="775" activeTab="6"/>
  </bookViews>
  <sheets>
    <sheet name="Cap3- 1" sheetId="1" r:id="rId1"/>
    <sheet name="Cap3- 2" sheetId="2" r:id="rId2"/>
    <sheet name="Cap3- 3" sheetId="3" r:id="rId3"/>
    <sheet name="Cap3 -4" sheetId="4" r:id="rId4"/>
    <sheet name="Cap3- 5" sheetId="5" r:id="rId5"/>
    <sheet name="Cap3- 6" sheetId="6" r:id="rId6"/>
    <sheet name="Cap3- 7" sheetId="7" r:id="rId7"/>
  </sheets>
  <definedNames>
    <definedName name="_xlnm.Print_Area" localSheetId="4">'Cap3- 5'!$A$1:$H$209</definedName>
  </definedNames>
  <calcPr fullCalcOnLoad="1"/>
</workbook>
</file>

<file path=xl/sharedStrings.xml><?xml version="1.0" encoding="utf-8"?>
<sst xmlns="http://schemas.openxmlformats.org/spreadsheetml/2006/main" count="1269" uniqueCount="309">
  <si>
    <t xml:space="preserve">CONSUMO DE </t>
  </si>
  <si>
    <t>COMBUSTÍVEL  (L)</t>
  </si>
  <si>
    <t>CONS.COMBUSTÍVEL</t>
  </si>
  <si>
    <t>(L)</t>
  </si>
  <si>
    <t>2.7 - Região 7</t>
  </si>
  <si>
    <t>Nº</t>
  </si>
  <si>
    <t>RECEITA</t>
  </si>
  <si>
    <t>RESULTADO</t>
  </si>
  <si>
    <t>LUCRATIVIDADE</t>
  </si>
  <si>
    <t>REGIÕES</t>
  </si>
  <si>
    <t>EMPRESAS</t>
  </si>
  <si>
    <t>OPERACIONAL</t>
  </si>
  <si>
    <t>(%)</t>
  </si>
  <si>
    <t>(R$)</t>
  </si>
  <si>
    <t>1</t>
  </si>
  <si>
    <t>2</t>
  </si>
  <si>
    <t>3</t>
  </si>
  <si>
    <t>4</t>
  </si>
  <si>
    <t>5</t>
  </si>
  <si>
    <t>6</t>
  </si>
  <si>
    <t>7</t>
  </si>
  <si>
    <t>TOTAL</t>
  </si>
  <si>
    <t>2.1 - Região 1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</si>
  <si>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</si>
  <si>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</si>
  <si>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</si>
  <si>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</si>
  <si>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</si>
  <si>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</si>
  <si>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</si>
  <si>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</si>
  <si>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</si>
  <si>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</si>
  <si>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</si>
  <si>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2. 2 - Região 2</t>
  </si>
  <si>
    <t>2. 4 - Região 4</t>
  </si>
  <si>
    <t>2. 5 - Região 5</t>
  </si>
  <si>
    <t>2. 6 - Região 6</t>
  </si>
  <si>
    <t>HORAS</t>
  </si>
  <si>
    <t>QUILÔMETROS</t>
  </si>
  <si>
    <t xml:space="preserve">         CONSUMO DE COMBUSTÍVEL</t>
  </si>
  <si>
    <t>VOADAS</t>
  </si>
  <si>
    <t>VOADOS</t>
  </si>
  <si>
    <t xml:space="preserve">                                (L)</t>
  </si>
  <si>
    <t>(H)</t>
  </si>
  <si>
    <t>(KM)</t>
  </si>
  <si>
    <t>GASOLINA</t>
  </si>
  <si>
    <t>QUEROSENE</t>
  </si>
  <si>
    <t xml:space="preserve">       CONS.COMBUSTÍVEL</t>
  </si>
  <si>
    <t xml:space="preserve">                            (L)</t>
  </si>
  <si>
    <t>SEDE</t>
  </si>
  <si>
    <t>Belém(PA)</t>
  </si>
  <si>
    <t>Santarém(PA)</t>
  </si>
  <si>
    <t>Marabá(PA)</t>
  </si>
  <si>
    <t>Fortaleza(CE)</t>
  </si>
  <si>
    <t>Teresina(PI)</t>
  </si>
  <si>
    <t>Salvador (BA)</t>
  </si>
  <si>
    <t>Recife(PE)</t>
  </si>
  <si>
    <t>Rio de Janeiro(RJ)</t>
  </si>
  <si>
    <t>Belo Horizonte(MG)</t>
  </si>
  <si>
    <t>São Paulo(SP)</t>
  </si>
  <si>
    <t>Porto Alegre(RS)</t>
  </si>
  <si>
    <t>Curitiba(PR)</t>
  </si>
  <si>
    <t>Várzea Grande(MT)</t>
  </si>
  <si>
    <t>Brasília(DF)</t>
  </si>
  <si>
    <t>Goiânia(GO)</t>
  </si>
  <si>
    <t>Cuiabá(MT)</t>
  </si>
  <si>
    <t>Manaus(AM)</t>
  </si>
  <si>
    <t>NÃO REGULAR SUPLEMENTAR</t>
  </si>
  <si>
    <t>gasolina</t>
  </si>
  <si>
    <t>querosene</t>
  </si>
  <si>
    <t>2.2 - Região 3</t>
  </si>
  <si>
    <t>Passo Fundo(RS)</t>
  </si>
  <si>
    <t>AVIÕES MULTIMOTORES</t>
  </si>
  <si>
    <t>Nº DE EMPRESAS</t>
  </si>
  <si>
    <t>-</t>
  </si>
  <si>
    <t>PATRIMÔNIO</t>
  </si>
  <si>
    <t>LÍQUIDO</t>
  </si>
  <si>
    <t>CUSTO</t>
  </si>
  <si>
    <t xml:space="preserve">CUSTO </t>
  </si>
  <si>
    <t xml:space="preserve">Helibarra Táxi Aéreo Ltda </t>
  </si>
  <si>
    <t xml:space="preserve">Fast Flight Táxi Aéreo Ltda </t>
  </si>
  <si>
    <t>São José dos Pinhais(PR)</t>
  </si>
  <si>
    <t>Jad Táxi Aéreo Ltda</t>
  </si>
  <si>
    <t>Itupeva(SP)</t>
  </si>
  <si>
    <t>J.S. Táxi Aéreo Ltda</t>
  </si>
  <si>
    <t>Mogi das Cruzes(SP)</t>
  </si>
  <si>
    <t>Metro Táxi Aéreo Ltda</t>
  </si>
  <si>
    <t>Estatísticos dentro do prazo regulamentar.</t>
  </si>
  <si>
    <t>TWO Táxi Aéreo Ltda</t>
  </si>
  <si>
    <t>Jundiai(SP)</t>
  </si>
  <si>
    <t>Campo Grande(MS)</t>
  </si>
  <si>
    <t>Aerotáxi Marinete Ltda</t>
  </si>
  <si>
    <t>MS Express Serviços e Táxi Aéreo Ltda</t>
  </si>
  <si>
    <t>Amapil Táxi Aéreo Ltda</t>
  </si>
  <si>
    <t>Star Fly Táxi Aéreo Ltda</t>
  </si>
  <si>
    <t>Paraná Jet Táxi Aéreo Ltda</t>
  </si>
  <si>
    <t>Top Line Táxi Aéreo Ltda</t>
  </si>
  <si>
    <t>Heli-Rio Táxi Aéreo Ltda</t>
  </si>
  <si>
    <t>Rotorbras Táxi Aéreo Ltda</t>
  </si>
  <si>
    <t>Congonhas(SP)</t>
  </si>
  <si>
    <t>Bertol Aerotáxi Ltda</t>
  </si>
  <si>
    <t>Táxi Aéreo Weiss Ltda</t>
  </si>
  <si>
    <t>Abelha Táxi Aéreo Ltda</t>
  </si>
  <si>
    <t>Ícaro Táxi Aéreo Ltda</t>
  </si>
  <si>
    <t>Soure Táxi Aéreo Ltda</t>
  </si>
  <si>
    <t>Sociedade de Táxi Aéreo Weston Ltda</t>
  </si>
  <si>
    <t>3 - Empresas Não-Regulares Suplementares</t>
  </si>
  <si>
    <t>5.1 - Região 1</t>
  </si>
  <si>
    <t>5.3 - Região 3</t>
  </si>
  <si>
    <t>5.2 - Região 2</t>
  </si>
  <si>
    <t>5.4 - Região 4</t>
  </si>
  <si>
    <t>5.6 - Região 6</t>
  </si>
  <si>
    <t>5.7 - Região 7</t>
  </si>
  <si>
    <t>5.5 - Região 5</t>
  </si>
  <si>
    <t>7 - Empresas Não-Regulares Suplementares</t>
  </si>
  <si>
    <t>Táxi Aéreo Dourado Ltda</t>
  </si>
  <si>
    <t>Sâo Paulo(SP)</t>
  </si>
  <si>
    <t>Castle Air Táxi Aéreo Ltda</t>
  </si>
  <si>
    <t>Senior Táxi Aéreo Ltda</t>
  </si>
  <si>
    <t>AEB Táxi Aéreo e Transp. Esp. Ltda</t>
  </si>
  <si>
    <t>Londrina(PR)</t>
  </si>
  <si>
    <t>ABC Táxi Aéreo Ltda</t>
  </si>
  <si>
    <t>Uberlândia(MG)</t>
  </si>
  <si>
    <t>Tasi Táxi Aéreo Sinopense Ltda</t>
  </si>
  <si>
    <t>Sinop(MT)</t>
  </si>
  <si>
    <t>Piquiatuba Táxi Aéreo Ltda</t>
  </si>
  <si>
    <t>Heringer Táxi Aéreo Ltda</t>
  </si>
  <si>
    <t>Imperatriz(MA)</t>
  </si>
  <si>
    <t>Ceará Táxi Aéreo Ltda</t>
  </si>
  <si>
    <t>BHS Brazilian Hel. Services Táxi Aéreo Ltda</t>
  </si>
  <si>
    <t>Helistar Táxi Aéreo Ltda</t>
  </si>
  <si>
    <r>
      <t>OBS:</t>
    </r>
    <r>
      <rPr>
        <sz val="10"/>
        <color indexed="8"/>
        <rFont val="Arial"/>
        <family val="2"/>
      </rPr>
      <t xml:space="preserve"> O quadro acima considerou apenas as empresas, em fase operacional, que enviaram Relatórios Econômicos e </t>
    </r>
  </si>
  <si>
    <t>Fretax Táxi Aéreo Ltda</t>
  </si>
  <si>
    <t>Oceanair Táxi Aéreo Ltda</t>
  </si>
  <si>
    <t>Helisul Táxi Aéreo Ltda</t>
  </si>
  <si>
    <t>Foz do Ifuaçú(PR)</t>
  </si>
  <si>
    <t>Táxi Aéreo Hércules Ltda</t>
  </si>
  <si>
    <t>19</t>
  </si>
  <si>
    <t>Varzea Grande(MT)</t>
  </si>
  <si>
    <t>JK Táxi Aéreo Ltda</t>
  </si>
  <si>
    <t>Porto Velho(RO)</t>
  </si>
  <si>
    <t>Rio Branco Aerotáxi Ltda</t>
  </si>
  <si>
    <t>Rio Branco(AC)</t>
  </si>
  <si>
    <t>Tap Táxi Aéreo Pauniense Ltda</t>
  </si>
  <si>
    <t>Rima Rio Madeira Táxi Aéreo Ltda</t>
  </si>
  <si>
    <t>Rima Rio Madeirra Táxi Aéreo Ltda</t>
  </si>
  <si>
    <t>Áquila Táxi Aéreo Ltda</t>
  </si>
  <si>
    <t>Brabo Táxi Aéreo Ltda</t>
  </si>
  <si>
    <t>Talla Táxi Aéreo Ltda</t>
  </si>
  <si>
    <t>Tarp Táxi Aéreo Ltda</t>
  </si>
  <si>
    <t>Redenção(PA)</t>
  </si>
  <si>
    <t>North Star Táxi Aéreo Ltda</t>
  </si>
  <si>
    <t>Lug Táxi Aéreo Ltda</t>
  </si>
  <si>
    <t>Rio Largo(AL)</t>
  </si>
  <si>
    <t>Aeromil Táxi Aéreo Ltda</t>
  </si>
  <si>
    <t>Henrimar Táxi Aéreo Ltda</t>
  </si>
  <si>
    <t>Lider Táxi Aéreo Ltda</t>
  </si>
  <si>
    <t>Tamig Táxi Aéreo Minas Gerais Ltda</t>
  </si>
  <si>
    <t>Central Táxi Aéreo Ltda</t>
  </si>
  <si>
    <t>Extreme Táxi Aéreo Ltda</t>
  </si>
  <si>
    <t>Santafé Táxi Aéreo Ltda</t>
  </si>
  <si>
    <t>Xanxerê(SC)</t>
  </si>
  <si>
    <t>Aliança Táxi Aéreo Ltda</t>
  </si>
  <si>
    <t>Sete Táxi Aéreo Ltda</t>
  </si>
  <si>
    <t>Jat Aerotáxi Ltda</t>
  </si>
  <si>
    <t>20</t>
  </si>
  <si>
    <t>21</t>
  </si>
  <si>
    <t>22</t>
  </si>
  <si>
    <t>Pema -Pereira Machado Táxi Aéreo Ltda</t>
  </si>
  <si>
    <t>Mato Grosso do Sul Ltda</t>
  </si>
  <si>
    <t>Aerotaxi Poty Ltda</t>
  </si>
  <si>
    <t>Arrow Jet Táxi Aéreo Ltda</t>
  </si>
  <si>
    <t>Vector Táxi Aéreo Ltda</t>
  </si>
  <si>
    <t>Táxi Aéreo Fortaleza Ltda</t>
  </si>
  <si>
    <t>Ortiz Táxi Aéreo Ltda</t>
  </si>
  <si>
    <t>Juta Junqueira T. Aéreo Ltda e Man de Aer.</t>
  </si>
  <si>
    <t>Rio Norte Táxi Aéreo Ltda</t>
  </si>
  <si>
    <t>Macapá(AP)</t>
  </si>
  <si>
    <t>Atlanta Táxi Aéreo S/A</t>
  </si>
  <si>
    <t>Lauro de Freitas(BA)</t>
  </si>
  <si>
    <t>Aero Star Táxi Aéreo Ltda</t>
  </si>
  <si>
    <t>Blue Air Táxi Aéreo Ltda</t>
  </si>
  <si>
    <t>Aracaju(SE)</t>
  </si>
  <si>
    <t>Táxi Aéreo Confiança Ltda</t>
  </si>
  <si>
    <t>JM Táxi Aéreo Ltda</t>
  </si>
  <si>
    <t>Moreto Táxi Aéreo Ltda</t>
  </si>
  <si>
    <t>Vera Cruz(GO)</t>
  </si>
  <si>
    <t>Manaus Aerotáxi Ltda</t>
  </si>
  <si>
    <t>Avalon Táxi Aéreo Ltda</t>
  </si>
  <si>
    <t>Amazonaves Táxi Aéreo Ltda</t>
  </si>
  <si>
    <t>Cta - Cleiton Táxi Aéreo Ltda</t>
  </si>
  <si>
    <t>JVC Aerotaxi Ltda</t>
  </si>
  <si>
    <r>
      <t>OBS</t>
    </r>
    <r>
      <rPr>
        <sz val="10"/>
        <color indexed="8"/>
        <rFont val="Arial"/>
        <family val="2"/>
      </rPr>
      <t xml:space="preserve">: O quadro acima considerou apenas as empresas, em fase operacional, que enviaram Relatórios Econômicos e </t>
    </r>
  </si>
  <si>
    <t xml:space="preserve">                           EMPRESAS</t>
  </si>
  <si>
    <t xml:space="preserve">                  EMPRESAS</t>
  </si>
  <si>
    <t xml:space="preserve">     </t>
  </si>
  <si>
    <t xml:space="preserve">                     EMPRESAS</t>
  </si>
  <si>
    <t xml:space="preserve">                      EMPRESAS</t>
  </si>
  <si>
    <t xml:space="preserve">                   EMPRESAS</t>
  </si>
  <si>
    <t xml:space="preserve">                    EMPRESAS</t>
  </si>
  <si>
    <t xml:space="preserve">                       EMPRESAS</t>
  </si>
  <si>
    <r>
      <t xml:space="preserve">       </t>
    </r>
    <r>
      <rPr>
        <b/>
        <sz val="10"/>
        <color indexed="8"/>
        <rFont val="Arial"/>
        <family val="2"/>
      </rPr>
      <t xml:space="preserve"> TIPO DE ATIVIDADE</t>
    </r>
  </si>
  <si>
    <t>Easy Táxi Aéreo Ltda</t>
  </si>
  <si>
    <t>Cururupu Táxi Aéreo Ltda</t>
  </si>
  <si>
    <t>São Luís (MA)</t>
  </si>
  <si>
    <t>Arizona Táxi Aéreo Ltda</t>
  </si>
  <si>
    <t>Jotan Táxi Aéreo Ltda</t>
  </si>
  <si>
    <t>Itaituba (PA)</t>
  </si>
  <si>
    <t>Aerotop Táxi Aéreo Ltda</t>
  </si>
  <si>
    <t>DS Air Táxi Aéreo Ltda</t>
  </si>
  <si>
    <t xml:space="preserve">DS Air Táxi Aéreo </t>
  </si>
  <si>
    <t>Aeróleo Táxi Aéreo S/A</t>
  </si>
  <si>
    <t>NHR Táxi Aéreo Ltda</t>
  </si>
  <si>
    <t>Cereal Citrus Aerotáxi Ltda</t>
  </si>
  <si>
    <t>Ribeirão Preto(SP)</t>
  </si>
  <si>
    <t>Sorocaba (SP)</t>
  </si>
  <si>
    <t>Helimarte Táxi Aéreo Ltda</t>
  </si>
  <si>
    <t>Vera Cruz Táxi Aéreo Ltda</t>
  </si>
  <si>
    <t>Vera Cruz (SP)</t>
  </si>
  <si>
    <t>Segurança Táxi Aéreo Ltda</t>
  </si>
  <si>
    <t>Golden Air Aerotáxi Ltda</t>
  </si>
  <si>
    <t>Florianópolis (SC)</t>
  </si>
  <si>
    <t>São Paulo (SP)</t>
  </si>
  <si>
    <t>Vip Jet Aerotáxi Ltda</t>
  </si>
  <si>
    <t>Horus Aerotáxi Ltda</t>
  </si>
  <si>
    <t>Joinville (SC)</t>
  </si>
  <si>
    <t>Foz do Iguaçú(PR)</t>
  </si>
  <si>
    <t>Equip Táxi Aéreo</t>
  </si>
  <si>
    <t>Equip Táxi Aéreo Ltda</t>
  </si>
  <si>
    <t>Medsul Táxi Aéreo Ltda</t>
  </si>
  <si>
    <t>Santa Bárbara Táxi Aéreo Ltda</t>
  </si>
  <si>
    <t>Arapongas(PR)</t>
  </si>
  <si>
    <t>Aerotec Táxi Aéreo Ltda</t>
  </si>
  <si>
    <t>Táxi Aéreo Palmas Ltda</t>
  </si>
  <si>
    <t>Táxi Aéreo Palmas</t>
  </si>
  <si>
    <t>Palmas (TO)</t>
  </si>
  <si>
    <t>Apolo Táxi Aéreo Ltda</t>
  </si>
  <si>
    <t>Puma Air Táxi Aéreo Ltda</t>
  </si>
  <si>
    <t>Macaé(RJ)</t>
  </si>
  <si>
    <t>Reali Táxi Aéreo Ltda</t>
  </si>
  <si>
    <t>Cruzeiro Táxi Aéreo S/A</t>
  </si>
  <si>
    <t>Icaraí Turismo Táxi Aéreo Ltda</t>
  </si>
  <si>
    <t>Araucária (PR)</t>
  </si>
  <si>
    <t>PEC Táxi Aéreo Ltda</t>
  </si>
  <si>
    <t>23</t>
  </si>
  <si>
    <t>Gensa - General Serviços Aéreos Ltda</t>
  </si>
  <si>
    <t xml:space="preserve">Gensa - General Serviços Aéreos Ltda </t>
  </si>
  <si>
    <t>Campo Grande (MS)</t>
  </si>
  <si>
    <t>24</t>
  </si>
  <si>
    <t>Econômicos e Estatísticos dentro do prazo regulamentar.</t>
  </si>
  <si>
    <t>que enviaram Relatórios Econômicos e Estatísticos dentro do prazo regulamentar.</t>
  </si>
  <si>
    <t>Atlas Táxi Aéreo Ltda</t>
  </si>
  <si>
    <t>2 - Dados Econômicos por Empresa - 2008</t>
  </si>
  <si>
    <t>1 - Resumo dos Dados Econômicos por Região - 2008</t>
  </si>
  <si>
    <t>Dados Econômicos - 2008</t>
  </si>
  <si>
    <t xml:space="preserve">              4 - Resumo dos Dados Estatísticos por Região - 2008</t>
  </si>
  <si>
    <t>5 - Dados Estatísticos por Empresa - 2008</t>
  </si>
  <si>
    <t>6 - Frota - Não Regular Suplementar - 2008</t>
  </si>
  <si>
    <t>Dados Estatísticos - 2008</t>
  </si>
  <si>
    <t>Air Jet Táxi Aéreo Ltda</t>
  </si>
  <si>
    <t>No Limits Táxi Aéreo Ltda</t>
  </si>
  <si>
    <t>Stilus Táxi Aéreo Ltda</t>
  </si>
  <si>
    <t>PMR Táxi Aéreo Ltda</t>
  </si>
  <si>
    <t>Protaxi Pró-Oeste Táxi Aéreo Ltda</t>
  </si>
  <si>
    <t>Táxi Aéreo Empresarial Ltda</t>
  </si>
  <si>
    <t>Nordeste Táxi Aéreo de Helicópteros Ltda</t>
  </si>
  <si>
    <t>ORM Air Táxi Aéreo Ltda</t>
  </si>
  <si>
    <t>Bitten táxi Aéreo Ltda</t>
  </si>
  <si>
    <t>Bitten Táxi Aéreo Ltda</t>
  </si>
  <si>
    <t>Empresa Pernambucana de Táxi Aéreo Ltda</t>
  </si>
  <si>
    <t>Olinda (PE)</t>
  </si>
  <si>
    <t>Fly and Fun Táxi Aéreo Ltda</t>
  </si>
  <si>
    <t xml:space="preserve">Fly and Fun Táxi Aéreo Ltda </t>
  </si>
  <si>
    <t>Mata de São João (BA)</t>
  </si>
  <si>
    <t>NVO Táxi Aéreo Ltda</t>
  </si>
  <si>
    <t>Tropic Air Táxi Aéreo Ltda</t>
  </si>
  <si>
    <t>Porto Seguro (BA)</t>
  </si>
  <si>
    <t>BATA - Bahia Táxi Aéreo Ltda</t>
  </si>
  <si>
    <t>Terral Táxi Aéreo Ltda</t>
  </si>
  <si>
    <t>Turim Táxi Aéreo Ltda</t>
  </si>
  <si>
    <t>25</t>
  </si>
  <si>
    <t>NAT - Nacional Aero Táxi Ltda</t>
  </si>
  <si>
    <t>Colt Táxi Aéreo Ltda</t>
  </si>
  <si>
    <t>Aerofar Táxi Aéreo Ltda</t>
  </si>
  <si>
    <t>Bringer Air Cargo Táxi Aéreo Ltda</t>
  </si>
  <si>
    <t>Plajap Táxi Aéreo Ltda</t>
  </si>
  <si>
    <t>Global Táxi Aéreo Ltda</t>
  </si>
  <si>
    <t>Premier Táxi Aéreo Ltda</t>
  </si>
  <si>
    <t>TAP - Táxi Aéreo Piracicaba</t>
  </si>
  <si>
    <t>Piracicaba (SP)</t>
  </si>
  <si>
    <t>TAP - Táxi Aéreo Piracicaba Ltda</t>
  </si>
  <si>
    <t>Just In Air Táxi Aéreo Ltda</t>
  </si>
  <si>
    <t>Táxi Aéreo American Ltda</t>
  </si>
  <si>
    <t>Especial Táxi Aéreo Ltda</t>
  </si>
  <si>
    <t>Parintins Táxi Aéreo Ltda</t>
  </si>
  <si>
    <t>Radial Aerotáxi Ltda</t>
  </si>
  <si>
    <t>Tio Táxi Aéreo Ltda</t>
  </si>
  <si>
    <t>Pan Táxi Aéreo MS Ltda</t>
  </si>
  <si>
    <t>Pan Táxi Aéreo Ltda</t>
  </si>
  <si>
    <t>Pássaro Azul Táxi Aéreo Ltda</t>
  </si>
  <si>
    <r>
      <t>OBS</t>
    </r>
    <r>
      <rPr>
        <sz val="10"/>
        <rFont val="Arial"/>
        <family val="2"/>
      </rPr>
      <t xml:space="preserve">: O quadro acima considerou apenas as empresas, em fase operacional, que enviaram Relatórios </t>
    </r>
  </si>
  <si>
    <t>NORDESTE LINHAS AÉREAS S/A</t>
  </si>
  <si>
    <r>
      <t>OBS:</t>
    </r>
    <r>
      <rPr>
        <sz val="10"/>
        <rFont val="Arial"/>
        <family val="2"/>
      </rPr>
      <t xml:space="preserve"> O quadro acima considerou apenas as empresas, em fase operacional, que enviaram seus Relatórios Econômicos e </t>
    </r>
  </si>
  <si>
    <r>
      <t>OBS</t>
    </r>
    <r>
      <rPr>
        <sz val="10"/>
        <rFont val="Arial"/>
        <family val="2"/>
      </rPr>
      <t xml:space="preserve">: O quadro acima considerou apenas as empresas, em fase operacional,  </t>
    </r>
  </si>
  <si>
    <t>Jet Set Brasil Táxi Aéreo Ltda</t>
  </si>
  <si>
    <r>
      <t>OBS</t>
    </r>
    <r>
      <rPr>
        <sz val="10"/>
        <rFont val="Arial"/>
        <family val="2"/>
      </rPr>
      <t xml:space="preserve">: 1- O quadro acima considerou apenas as empresas, em fase operacional, que enviaram Relatórios Econômicos e </t>
    </r>
  </si>
  <si>
    <t>2- Nos voos de helicópteros são registradas apenas as horas voadas.</t>
  </si>
  <si>
    <t>Rio de Janeiro (RJ)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</si>
</sst>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6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10" xfId="0" applyBorder="1" applyAlignment="1" quotePrefix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 quotePrefix="1">
      <alignment horizontal="left"/>
    </xf>
    <xf numFmtId="4" fontId="0" fillId="0" borderId="0" xfId="0" applyNumberFormat="1" applyFont="1" applyAlignment="1" quotePrefix="1">
      <alignment horizontal="left"/>
    </xf>
    <xf numFmtId="4" fontId="3" fillId="0" borderId="0" xfId="0" applyNumberFormat="1" applyFont="1" applyAlignment="1" quotePrefix="1">
      <alignment horizontal="left"/>
    </xf>
    <xf numFmtId="3" fontId="0" fillId="0" borderId="10" xfId="0" applyNumberFormat="1" applyBorder="1" applyAlignment="1" quotePrefix="1">
      <alignment horizontal="right"/>
    </xf>
    <xf numFmtId="3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 quotePrefix="1">
      <alignment horizontal="left"/>
    </xf>
    <xf numFmtId="1" fontId="0" fillId="0" borderId="0" xfId="0" applyNumberFormat="1" applyFont="1" applyAlignment="1" quotePrefix="1">
      <alignment horizontal="left"/>
    </xf>
    <xf numFmtId="1" fontId="0" fillId="0" borderId="0" xfId="0" applyNumberFormat="1" applyFont="1" applyBorder="1" applyAlignment="1" quotePrefix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 quotePrefix="1">
      <alignment/>
    </xf>
    <xf numFmtId="3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0" fillId="0" borderId="0" xfId="0" applyNumberFormat="1" applyBorder="1" applyAlignment="1">
      <alignment horizontal="right" vertical="center"/>
    </xf>
    <xf numFmtId="1" fontId="5" fillId="0" borderId="0" xfId="0" applyNumberFormat="1" applyFont="1" applyAlignment="1">
      <alignment/>
    </xf>
    <xf numFmtId="4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/>
    </xf>
    <xf numFmtId="4" fontId="5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9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14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3" fontId="8" fillId="0" borderId="17" xfId="0" applyNumberFormat="1" applyFont="1" applyBorder="1" applyAlignment="1">
      <alignment/>
    </xf>
    <xf numFmtId="4" fontId="5" fillId="0" borderId="0" xfId="0" applyNumberFormat="1" applyFont="1" applyBorder="1" applyAlignment="1" quotePrefix="1">
      <alignment horizontal="left"/>
    </xf>
    <xf numFmtId="4" fontId="5" fillId="0" borderId="11" xfId="0" applyNumberFormat="1" applyFont="1" applyBorder="1" applyAlignment="1" quotePrefix="1">
      <alignment horizontal="left"/>
    </xf>
    <xf numFmtId="0" fontId="5" fillId="0" borderId="15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 quotePrefix="1">
      <alignment/>
    </xf>
    <xf numFmtId="0" fontId="0" fillId="0" borderId="10" xfId="0" applyFont="1" applyBorder="1" applyAlignment="1" quotePrefix="1">
      <alignment horizontal="right"/>
    </xf>
    <xf numFmtId="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 quotePrefix="1">
      <alignment horizontal="right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10" xfId="0" applyNumberFormat="1" applyFont="1" applyBorder="1" applyAlignment="1" quotePrefix="1">
      <alignment horizontal="right"/>
    </xf>
    <xf numFmtId="4" fontId="0" fillId="0" borderId="0" xfId="0" applyNumberFormat="1" applyFont="1" applyAlignment="1">
      <alignment horizontal="left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7" fillId="0" borderId="1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/>
    </xf>
    <xf numFmtId="3" fontId="7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9" fontId="0" fillId="0" borderId="10" xfId="0" applyNumberFormat="1" applyBorder="1" applyAlignment="1">
      <alignment horizontal="right" vertical="center"/>
    </xf>
    <xf numFmtId="39" fontId="7" fillId="0" borderId="10" xfId="0" applyNumberFormat="1" applyFont="1" applyBorder="1" applyAlignment="1">
      <alignment horizontal="right" vertical="center"/>
    </xf>
    <xf numFmtId="39" fontId="7" fillId="0" borderId="13" xfId="0" applyNumberFormat="1" applyFont="1" applyBorder="1" applyAlignment="1">
      <alignment horizontal="right" vertical="center"/>
    </xf>
    <xf numFmtId="39" fontId="6" fillId="0" borderId="16" xfId="0" applyNumberFormat="1" applyFont="1" applyBorder="1" applyAlignment="1">
      <alignment horizontal="right" vertical="center"/>
    </xf>
    <xf numFmtId="39" fontId="7" fillId="0" borderId="17" xfId="0" applyNumberFormat="1" applyFont="1" applyBorder="1" applyAlignment="1">
      <alignment horizontal="right" vertical="center"/>
    </xf>
    <xf numFmtId="39" fontId="7" fillId="0" borderId="20" xfId="0" applyNumberFormat="1" applyFont="1" applyBorder="1" applyAlignment="1">
      <alignment horizontal="right" vertical="center"/>
    </xf>
    <xf numFmtId="39" fontId="0" fillId="0" borderId="10" xfId="0" applyNumberFormat="1" applyFont="1" applyBorder="1" applyAlignment="1">
      <alignment horizontal="right" vertical="center"/>
    </xf>
    <xf numFmtId="39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 quotePrefix="1">
      <alignment/>
    </xf>
    <xf numFmtId="4" fontId="0" fillId="0" borderId="13" xfId="0" applyNumberFormat="1" applyBorder="1" applyAlignment="1">
      <alignment horizontal="right" vertical="center"/>
    </xf>
    <xf numFmtId="3" fontId="0" fillId="0" borderId="13" xfId="0" applyNumberFormat="1" applyFont="1" applyBorder="1" applyAlignment="1" quotePrefix="1">
      <alignment/>
    </xf>
    <xf numFmtId="3" fontId="2" fillId="0" borderId="19" xfId="0" applyNumberFormat="1" applyFont="1" applyBorder="1" applyAlignment="1">
      <alignment/>
    </xf>
    <xf numFmtId="3" fontId="0" fillId="0" borderId="14" xfId="0" applyNumberFormat="1" applyFont="1" applyBorder="1" applyAlignment="1" quotePrefix="1">
      <alignment/>
    </xf>
    <xf numFmtId="0" fontId="9" fillId="0" borderId="16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 vertical="center"/>
    </xf>
    <xf numFmtId="39" fontId="0" fillId="0" borderId="17" xfId="0" applyNumberFormat="1" applyFont="1" applyBorder="1" applyAlignment="1">
      <alignment horizontal="right" vertical="center"/>
    </xf>
    <xf numFmtId="0" fontId="5" fillId="0" borderId="0" xfId="0" applyFont="1" applyAlignment="1" quotePrefix="1">
      <alignment horizontal="left"/>
    </xf>
    <xf numFmtId="0" fontId="5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1" xfId="0" applyFont="1" applyBorder="1" applyAlignment="1">
      <alignment horizontal="center"/>
    </xf>
    <xf numFmtId="1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39" fontId="0" fillId="0" borderId="13" xfId="0" applyNumberFormat="1" applyFont="1" applyBorder="1" applyAlignment="1">
      <alignment horizontal="right" vertical="center"/>
    </xf>
    <xf numFmtId="0" fontId="0" fillId="0" borderId="0" xfId="0" applyFont="1" applyAlignment="1" quotePrefix="1">
      <alignment horizontal="center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center"/>
    </xf>
    <xf numFmtId="4" fontId="7" fillId="0" borderId="25" xfId="0" applyNumberFormat="1" applyFont="1" applyBorder="1" applyAlignment="1">
      <alignment/>
    </xf>
    <xf numFmtId="0" fontId="9" fillId="0" borderId="0" xfId="0" applyFont="1" applyBorder="1" applyAlignment="1">
      <alignment horizontal="left" vertical="center"/>
    </xf>
    <xf numFmtId="4" fontId="7" fillId="0" borderId="26" xfId="0" applyNumberFormat="1" applyFont="1" applyBorder="1" applyAlignment="1">
      <alignment/>
    </xf>
    <xf numFmtId="0" fontId="7" fillId="0" borderId="25" xfId="0" applyFont="1" applyBorder="1" applyAlignment="1">
      <alignment/>
    </xf>
    <xf numFmtId="3" fontId="7" fillId="0" borderId="14" xfId="0" applyNumberFormat="1" applyFont="1" applyBorder="1" applyAlignment="1" quotePrefix="1">
      <alignment horizontal="right"/>
    </xf>
    <xf numFmtId="0" fontId="2" fillId="0" borderId="19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/>
    </xf>
    <xf numFmtId="4" fontId="9" fillId="0" borderId="2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4" fontId="0" fillId="0" borderId="18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3" fontId="7" fillId="0" borderId="28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4" fontId="5" fillId="0" borderId="2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39" fontId="0" fillId="0" borderId="13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 quotePrefix="1">
      <alignment horizontal="right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4" fontId="0" fillId="0" borderId="10" xfId="0" applyNumberFormat="1" applyFont="1" applyBorder="1" applyAlignment="1" quotePrefix="1">
      <alignment horizontal="center"/>
    </xf>
    <xf numFmtId="4" fontId="0" fillId="0" borderId="13" xfId="0" applyNumberFormat="1" applyFont="1" applyBorder="1" applyAlignment="1" quotePrefix="1">
      <alignment horizontal="center"/>
    </xf>
    <xf numFmtId="39" fontId="0" fillId="0" borderId="13" xfId="0" applyNumberFormat="1" applyFont="1" applyBorder="1" applyAlignment="1" quotePrefix="1">
      <alignment horizontal="right"/>
    </xf>
    <xf numFmtId="4" fontId="0" fillId="33" borderId="0" xfId="0" applyNumberFormat="1" applyFont="1" applyFill="1" applyAlignment="1">
      <alignment/>
    </xf>
    <xf numFmtId="4" fontId="0" fillId="0" borderId="18" xfId="0" applyNumberFormat="1" applyFont="1" applyBorder="1" applyAlignment="1">
      <alignment/>
    </xf>
    <xf numFmtId="4" fontId="0" fillId="0" borderId="30" xfId="0" applyNumberFormat="1" applyFont="1" applyBorder="1" applyAlignment="1">
      <alignment horizontal="right" vertical="center"/>
    </xf>
    <xf numFmtId="39" fontId="0" fillId="0" borderId="31" xfId="0" applyNumberFormat="1" applyFont="1" applyBorder="1" applyAlignment="1" quotePrefix="1">
      <alignment horizontal="right"/>
    </xf>
    <xf numFmtId="4" fontId="0" fillId="0" borderId="10" xfId="0" applyNumberFormat="1" applyFont="1" applyBorder="1" applyAlignment="1">
      <alignment horizontal="center"/>
    </xf>
    <xf numFmtId="39" fontId="0" fillId="0" borderId="3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 quotePrefix="1">
      <alignment horizontal="left"/>
    </xf>
    <xf numFmtId="39" fontId="0" fillId="0" borderId="0" xfId="0" applyNumberFormat="1" applyFont="1" applyBorder="1" applyAlignment="1">
      <alignment/>
    </xf>
    <xf numFmtId="39" fontId="0" fillId="0" borderId="13" xfId="0" applyNumberFormat="1" applyFont="1" applyBorder="1" applyAlignment="1">
      <alignment/>
    </xf>
    <xf numFmtId="39" fontId="0" fillId="0" borderId="0" xfId="0" applyNumberFormat="1" applyFont="1" applyBorder="1" applyAlignment="1" quotePrefix="1">
      <alignment/>
    </xf>
    <xf numFmtId="1" fontId="0" fillId="0" borderId="0" xfId="0" applyNumberFormat="1" applyFont="1" applyBorder="1" applyAlignment="1" quotePrefix="1">
      <alignment/>
    </xf>
    <xf numFmtId="4" fontId="0" fillId="0" borderId="18" xfId="0" applyNumberFormat="1" applyFont="1" applyBorder="1" applyAlignment="1" quotePrefix="1">
      <alignment horizontal="right"/>
    </xf>
    <xf numFmtId="1" fontId="5" fillId="0" borderId="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39" fontId="0" fillId="0" borderId="10" xfId="0" applyNumberFormat="1" applyFont="1" applyBorder="1" applyAlignment="1">
      <alignment horizontal="right"/>
    </xf>
    <xf numFmtId="0" fontId="44" fillId="0" borderId="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9" fillId="0" borderId="23" xfId="0" applyFont="1" applyBorder="1" applyAlignment="1" quotePrefix="1">
      <alignment horizontal="center"/>
    </xf>
    <xf numFmtId="0" fontId="9" fillId="0" borderId="22" xfId="0" applyFont="1" applyBorder="1" applyAlignment="1" quotePrefix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 quotePrefix="1">
      <alignment horizontal="left"/>
    </xf>
    <xf numFmtId="0" fontId="9" fillId="0" borderId="32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28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43" fontId="0" fillId="0" borderId="0" xfId="51" applyFont="1" applyAlignment="1">
      <alignment/>
    </xf>
    <xf numFmtId="43" fontId="0" fillId="0" borderId="0" xfId="0" applyNumberFormat="1" applyAlignment="1">
      <alignment vertical="center"/>
    </xf>
    <xf numFmtId="43" fontId="0" fillId="0" borderId="0" xfId="0" applyNumberFormat="1" applyAlignment="1">
      <alignment/>
    </xf>
    <xf numFmtId="39" fontId="0" fillId="0" borderId="10" xfId="0" applyNumberFormat="1" applyFont="1" applyBorder="1" applyAlignment="1" quotePrefix="1">
      <alignment horizontal="right"/>
    </xf>
    <xf numFmtId="0" fontId="5" fillId="0" borderId="3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34" xfId="0" applyFont="1" applyBorder="1" applyAlignment="1">
      <alignment horizontal="center"/>
    </xf>
    <xf numFmtId="1" fontId="0" fillId="0" borderId="11" xfId="0" applyNumberFormat="1" applyFont="1" applyBorder="1" applyAlignment="1" quotePrefix="1">
      <alignment horizontal="left"/>
    </xf>
    <xf numFmtId="4" fontId="0" fillId="0" borderId="11" xfId="0" applyNumberFormat="1" applyBorder="1" applyAlignment="1">
      <alignment horizontal="left"/>
    </xf>
    <xf numFmtId="4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" fontId="5" fillId="0" borderId="0" xfId="0" applyNumberFormat="1" applyFont="1" applyBorder="1" applyAlignment="1" quotePrefix="1">
      <alignment horizontal="center"/>
    </xf>
    <xf numFmtId="4" fontId="5" fillId="0" borderId="2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31" xfId="0" applyNumberFormat="1" applyFont="1" applyBorder="1" applyAlignment="1">
      <alignment horizontal="right" vertical="center"/>
    </xf>
    <xf numFmtId="39" fontId="0" fillId="0" borderId="31" xfId="0" applyNumberFormat="1" applyFont="1" applyBorder="1" applyAlignment="1">
      <alignment horizontal="right" vertical="center"/>
    </xf>
    <xf numFmtId="1" fontId="5" fillId="0" borderId="22" xfId="0" applyNumberFormat="1" applyFont="1" applyBorder="1" applyAlignment="1" quotePrefix="1">
      <alignment horizontal="left"/>
    </xf>
    <xf numFmtId="1" fontId="5" fillId="0" borderId="0" xfId="0" applyNumberFormat="1" applyFont="1" applyBorder="1" applyAlignment="1" quotePrefix="1">
      <alignment horizontal="left"/>
    </xf>
    <xf numFmtId="1" fontId="5" fillId="0" borderId="11" xfId="0" applyNumberFormat="1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7" fillId="0" borderId="21" xfId="0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" fontId="6" fillId="0" borderId="16" xfId="0" applyNumberFormat="1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3" fontId="0" fillId="0" borderId="27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 quotePrefix="1">
      <alignment/>
    </xf>
    <xf numFmtId="39" fontId="0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 quotePrefix="1">
      <alignment horizontal="left"/>
    </xf>
    <xf numFmtId="39" fontId="7" fillId="0" borderId="0" xfId="0" applyNumberFormat="1" applyFont="1" applyFill="1" applyBorder="1" applyAlignment="1">
      <alignment/>
    </xf>
    <xf numFmtId="39" fontId="7" fillId="0" borderId="36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13" xfId="0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0" xfId="0" applyNumberFormat="1" applyFont="1" applyBorder="1" applyAlignment="1" quotePrefix="1">
      <alignment/>
    </xf>
    <xf numFmtId="4" fontId="7" fillId="0" borderId="35" xfId="0" applyNumberFormat="1" applyFont="1" applyBorder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" fontId="5" fillId="0" borderId="33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 quotePrefix="1">
      <alignment horizontal="center"/>
    </xf>
    <xf numFmtId="4" fontId="5" fillId="0" borderId="35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 quotePrefix="1">
      <alignment horizontal="center"/>
    </xf>
    <xf numFmtId="4" fontId="9" fillId="0" borderId="38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 quotePrefix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center"/>
    </xf>
    <xf numFmtId="3" fontId="8" fillId="0" borderId="34" xfId="0" applyNumberFormat="1" applyFont="1" applyBorder="1" applyAlignment="1">
      <alignment horizontal="center"/>
    </xf>
    <xf numFmtId="3" fontId="8" fillId="0" borderId="37" xfId="0" applyNumberFormat="1" applyFont="1" applyBorder="1" applyAlignment="1" quotePrefix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3" fontId="10" fillId="0" borderId="41" xfId="51" applyNumberFormat="1" applyFont="1" applyBorder="1" applyAlignment="1">
      <alignment horizontal="center" vertical="center"/>
    </xf>
    <xf numFmtId="43" fontId="10" fillId="0" borderId="27" xfId="51" applyNumberFormat="1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/>
    </xf>
    <xf numFmtId="0" fontId="9" fillId="0" borderId="34" xfId="0" applyFont="1" applyBorder="1" applyAlignment="1">
      <alignment horizontal="center"/>
    </xf>
    <xf numFmtId="0" fontId="9" fillId="0" borderId="37" xfId="0" applyFont="1" applyBorder="1" applyAlignment="1" quotePrefix="1">
      <alignment horizontal="center"/>
    </xf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 quotePrefix="1">
      <alignment horizontal="center"/>
    </xf>
    <xf numFmtId="4" fontId="0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/>
    </xf>
    <xf numFmtId="3" fontId="8" fillId="0" borderId="17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" fontId="0" fillId="0" borderId="30" xfId="0" applyNumberFormat="1" applyBorder="1" applyAlignment="1">
      <alignment/>
    </xf>
    <xf numFmtId="0" fontId="0" fillId="0" borderId="35" xfId="0" applyFont="1" applyBorder="1" applyAlignment="1">
      <alignment vertical="center"/>
    </xf>
    <xf numFmtId="1" fontId="0" fillId="0" borderId="35" xfId="0" applyNumberFormat="1" applyFont="1" applyBorder="1" applyAlignment="1" quotePrefix="1">
      <alignment horizontal="left" vertical="center"/>
    </xf>
    <xf numFmtId="4" fontId="0" fillId="0" borderId="35" xfId="0" applyNumberFormat="1" applyBorder="1" applyAlignment="1">
      <alignment horizontal="left" vertical="center"/>
    </xf>
    <xf numFmtId="3" fontId="0" fillId="0" borderId="33" xfId="0" applyNumberFormat="1" applyBorder="1" applyAlignment="1">
      <alignment/>
    </xf>
    <xf numFmtId="0" fontId="0" fillId="0" borderId="31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0" fillId="0" borderId="35" xfId="0" applyBorder="1" applyAlignment="1">
      <alignment/>
    </xf>
    <xf numFmtId="3" fontId="0" fillId="0" borderId="30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/>
    </xf>
    <xf numFmtId="4" fontId="5" fillId="0" borderId="22" xfId="0" applyNumberFormat="1" applyFont="1" applyBorder="1" applyAlignment="1" quotePrefix="1">
      <alignment horizontal="left"/>
    </xf>
    <xf numFmtId="3" fontId="8" fillId="0" borderId="22" xfId="0" applyNumberFormat="1" applyFont="1" applyBorder="1" applyAlignment="1" quotePrefix="1">
      <alignment horizontal="left"/>
    </xf>
    <xf numFmtId="3" fontId="8" fillId="0" borderId="22" xfId="0" applyNumberFormat="1" applyFont="1" applyBorder="1" applyAlignment="1">
      <alignment/>
    </xf>
    <xf numFmtId="3" fontId="8" fillId="0" borderId="0" xfId="0" applyNumberFormat="1" applyFont="1" applyBorder="1" applyAlignment="1" quotePrefix="1">
      <alignment horizontal="center"/>
    </xf>
    <xf numFmtId="3" fontId="8" fillId="0" borderId="0" xfId="0" applyNumberFormat="1" applyFont="1" applyBorder="1" applyAlignment="1">
      <alignment/>
    </xf>
    <xf numFmtId="3" fontId="0" fillId="0" borderId="30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1" fontId="0" fillId="0" borderId="35" xfId="0" applyNumberFormat="1" applyFont="1" applyBorder="1" applyAlignment="1" quotePrefix="1">
      <alignment/>
    </xf>
    <xf numFmtId="4" fontId="0" fillId="0" borderId="35" xfId="0" applyNumberForma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" fontId="7" fillId="0" borderId="42" xfId="0" applyNumberFormat="1" applyFont="1" applyBorder="1" applyAlignment="1">
      <alignment/>
    </xf>
    <xf numFmtId="0" fontId="7" fillId="0" borderId="26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115" zoomScaleSheetLayoutView="115" zoomScalePageLayoutView="0" workbookViewId="0" topLeftCell="A1">
      <selection activeCell="E17" sqref="E17"/>
    </sheetView>
  </sheetViews>
  <sheetFormatPr defaultColWidth="11.57421875" defaultRowHeight="12.75"/>
  <cols>
    <col min="1" max="1" width="9.140625" style="100" customWidth="1"/>
    <col min="2" max="2" width="11.140625" style="100" customWidth="1"/>
    <col min="3" max="3" width="15.7109375" style="100" customWidth="1"/>
    <col min="4" max="4" width="16.28125" style="100" customWidth="1"/>
    <col min="5" max="5" width="14.8515625" style="100" customWidth="1"/>
    <col min="6" max="6" width="15.57421875" style="100" bestFit="1" customWidth="1"/>
    <col min="7" max="7" width="15.140625" style="30" customWidth="1"/>
    <col min="8" max="16384" width="11.57421875" style="100" customWidth="1"/>
  </cols>
  <sheetData>
    <row r="1" ht="12.75">
      <c r="C1" s="132" t="s">
        <v>254</v>
      </c>
    </row>
    <row r="2" ht="19.5" customHeight="1"/>
    <row r="3" spans="1:7" s="51" customFormat="1" ht="19.5" customHeight="1">
      <c r="A3" s="49"/>
      <c r="B3" s="133" t="s">
        <v>5</v>
      </c>
      <c r="C3" s="92" t="s">
        <v>6</v>
      </c>
      <c r="D3" s="92" t="s">
        <v>79</v>
      </c>
      <c r="E3" s="92" t="s">
        <v>7</v>
      </c>
      <c r="F3" s="134" t="s">
        <v>8</v>
      </c>
      <c r="G3" s="50" t="s">
        <v>76</v>
      </c>
    </row>
    <row r="4" spans="1:7" s="51" customFormat="1" ht="12.75">
      <c r="A4" s="135" t="s">
        <v>9</v>
      </c>
      <c r="B4" s="136" t="s">
        <v>10</v>
      </c>
      <c r="C4" s="93" t="s">
        <v>11</v>
      </c>
      <c r="D4" s="93" t="s">
        <v>11</v>
      </c>
      <c r="E4" s="93" t="s">
        <v>11</v>
      </c>
      <c r="F4" s="93" t="s">
        <v>12</v>
      </c>
      <c r="G4" s="53" t="s">
        <v>77</v>
      </c>
    </row>
    <row r="5" spans="1:7" s="51" customFormat="1" ht="12.75">
      <c r="A5" s="57"/>
      <c r="B5" s="137"/>
      <c r="C5" s="93" t="s">
        <v>13</v>
      </c>
      <c r="D5" s="94" t="s">
        <v>13</v>
      </c>
      <c r="E5" s="94" t="s">
        <v>13</v>
      </c>
      <c r="F5" s="138"/>
      <c r="G5" s="129" t="s">
        <v>13</v>
      </c>
    </row>
    <row r="6" spans="1:7" ht="12.75">
      <c r="A6" s="106"/>
      <c r="B6" s="139"/>
      <c r="C6" s="140"/>
      <c r="D6" s="89"/>
      <c r="E6" s="89"/>
      <c r="F6" s="141"/>
      <c r="G6" s="142"/>
    </row>
    <row r="7" spans="1:7" ht="14.25" customHeight="1">
      <c r="A7" s="44" t="s">
        <v>14</v>
      </c>
      <c r="B7" s="143">
        <v>19</v>
      </c>
      <c r="C7" s="144">
        <f>+'Cap3- 2'!D28</f>
        <v>27978166.59</v>
      </c>
      <c r="D7" s="144">
        <f>+'Cap3- 2'!E28</f>
        <v>26781612.62</v>
      </c>
      <c r="E7" s="118">
        <f>C7-D7</f>
        <v>1196553.9699999988</v>
      </c>
      <c r="F7" s="113">
        <f aca="true" t="shared" si="0" ref="F7:F15">(E7/C7)*100</f>
        <v>4.276741887825033</v>
      </c>
      <c r="G7" s="145">
        <f>+'Cap3- 2'!G28</f>
        <v>3944800.26</v>
      </c>
    </row>
    <row r="8" spans="1:7" ht="12.75">
      <c r="A8" s="44" t="s">
        <v>15</v>
      </c>
      <c r="B8" s="143">
        <v>22</v>
      </c>
      <c r="C8" s="67">
        <f>+'Cap3- 2'!D60</f>
        <v>58531631.25</v>
      </c>
      <c r="D8" s="144">
        <f>+'Cap3- 2'!E60</f>
        <v>67745338.28999999</v>
      </c>
      <c r="E8" s="118">
        <f aca="true" t="shared" si="1" ref="E8:E13">C8-D8</f>
        <v>-9213707.039999992</v>
      </c>
      <c r="F8" s="113">
        <f t="shared" si="0"/>
        <v>-15.741415100232647</v>
      </c>
      <c r="G8" s="114">
        <f>+'Cap3- 2'!G60</f>
        <v>169325825.18</v>
      </c>
    </row>
    <row r="9" spans="1:7" ht="12.75">
      <c r="A9" s="44" t="s">
        <v>16</v>
      </c>
      <c r="B9" s="143">
        <v>20</v>
      </c>
      <c r="C9" s="67">
        <f>+'Cap3- 2'!D90</f>
        <v>546424177.55</v>
      </c>
      <c r="D9" s="144">
        <f>+'Cap3- 2'!E90</f>
        <v>615425068.93</v>
      </c>
      <c r="E9" s="118">
        <f t="shared" si="1"/>
        <v>-69000891.38</v>
      </c>
      <c r="F9" s="113">
        <f t="shared" si="0"/>
        <v>-12.62771564929265</v>
      </c>
      <c r="G9" s="114">
        <f>+'Cap3- 2'!G90</f>
        <v>-15563562.499999989</v>
      </c>
    </row>
    <row r="10" spans="1:7" ht="12.75">
      <c r="A10" s="44" t="s">
        <v>17</v>
      </c>
      <c r="B10" s="143">
        <v>25</v>
      </c>
      <c r="C10" s="67">
        <f>+'Cap3- 2'!D125</f>
        <v>186542241.69</v>
      </c>
      <c r="D10" s="144">
        <f>+'Cap3- 2'!E125</f>
        <v>250049870.34000003</v>
      </c>
      <c r="E10" s="118">
        <f t="shared" si="1"/>
        <v>-63507628.650000036</v>
      </c>
      <c r="F10" s="113">
        <f t="shared" si="0"/>
        <v>-34.04463679360003</v>
      </c>
      <c r="G10" s="114">
        <f>+'Cap3- 2'!G125</f>
        <v>74281271.81</v>
      </c>
    </row>
    <row r="11" spans="1:7" ht="12.75">
      <c r="A11" s="44" t="s">
        <v>18</v>
      </c>
      <c r="B11" s="143">
        <v>22</v>
      </c>
      <c r="C11" s="67">
        <f>+'Cap3- 2'!D157</f>
        <v>37710566.1</v>
      </c>
      <c r="D11" s="144">
        <f>+'Cap3- 2'!E157</f>
        <v>58113434.85999999</v>
      </c>
      <c r="E11" s="118">
        <f t="shared" si="1"/>
        <v>-20402868.75999999</v>
      </c>
      <c r="F11" s="113">
        <f t="shared" si="0"/>
        <v>-54.10385170537122</v>
      </c>
      <c r="G11" s="114">
        <f>+'Cap3- 2'!G157</f>
        <v>77045428.82</v>
      </c>
    </row>
    <row r="12" spans="1:7" ht="12.75">
      <c r="A12" s="44" t="s">
        <v>19</v>
      </c>
      <c r="B12" s="143">
        <v>16</v>
      </c>
      <c r="C12" s="67">
        <f>+'Cap3- 2'!D183</f>
        <v>83680426.33</v>
      </c>
      <c r="D12" s="144">
        <f>+'Cap3- 2'!E183</f>
        <v>70418287.22</v>
      </c>
      <c r="E12" s="118">
        <f t="shared" si="1"/>
        <v>13262139.11</v>
      </c>
      <c r="F12" s="113">
        <f t="shared" si="0"/>
        <v>15.848555859048524</v>
      </c>
      <c r="G12" s="114">
        <f>+'Cap3- 2'!G183</f>
        <v>31721696.07</v>
      </c>
    </row>
    <row r="13" spans="1:7" ht="12.75">
      <c r="A13" s="44" t="s">
        <v>20</v>
      </c>
      <c r="B13" s="143">
        <v>12</v>
      </c>
      <c r="C13" s="144">
        <f>+'Cap3- 2'!D205</f>
        <v>34554074.76</v>
      </c>
      <c r="D13" s="144">
        <f>'Cap3- 2'!E205</f>
        <v>35695561.17</v>
      </c>
      <c r="E13" s="118">
        <f t="shared" si="1"/>
        <v>-1141486.4100000039</v>
      </c>
      <c r="F13" s="113">
        <f t="shared" si="0"/>
        <v>-3.3034784404686053</v>
      </c>
      <c r="G13" s="114">
        <f>+'Cap3- 2'!G205</f>
        <v>29728063.68</v>
      </c>
    </row>
    <row r="14" spans="1:7" ht="12.75">
      <c r="A14" s="146"/>
      <c r="B14" s="143"/>
      <c r="C14" s="147"/>
      <c r="D14" s="148"/>
      <c r="E14" s="118"/>
      <c r="F14" s="113"/>
      <c r="G14" s="115"/>
    </row>
    <row r="15" spans="1:7" ht="15" customHeight="1">
      <c r="A15" s="65" t="s">
        <v>21</v>
      </c>
      <c r="B15" s="149">
        <f>SUM(B7:B14)</f>
        <v>136</v>
      </c>
      <c r="C15" s="130">
        <f>SUM(C7:C13)</f>
        <v>975421284.27</v>
      </c>
      <c r="D15" s="130">
        <f>SUM(D7:D13)</f>
        <v>1124229173.43</v>
      </c>
      <c r="E15" s="131">
        <f>C15-D15</f>
        <v>-148807889.1600001</v>
      </c>
      <c r="F15" s="116">
        <f t="shared" si="0"/>
        <v>-15.255755801081078</v>
      </c>
      <c r="G15" s="117">
        <f>SUM(G7:G13)</f>
        <v>370483523.32</v>
      </c>
    </row>
    <row r="18" spans="1:7" ht="12.75">
      <c r="A18" s="37" t="s">
        <v>301</v>
      </c>
      <c r="B18" s="99"/>
      <c r="C18" s="99"/>
      <c r="D18" s="99"/>
      <c r="E18" s="99"/>
      <c r="F18" s="99"/>
      <c r="G18" s="99"/>
    </row>
    <row r="19" spans="1:7" ht="12.75">
      <c r="A19" s="120" t="s">
        <v>250</v>
      </c>
      <c r="B19" s="99"/>
      <c r="C19" s="99"/>
      <c r="D19" s="99"/>
      <c r="E19" s="99"/>
      <c r="F19" s="99"/>
      <c r="G19" s="99"/>
    </row>
    <row r="20" spans="1:7" ht="12.75">
      <c r="A20" s="120"/>
      <c r="B20" s="99"/>
      <c r="C20" s="99"/>
      <c r="D20" s="99"/>
      <c r="E20" s="99"/>
      <c r="F20" s="99"/>
      <c r="G20" s="99"/>
    </row>
    <row r="21" ht="12.75">
      <c r="G21" s="31"/>
    </row>
    <row r="23" ht="12.75">
      <c r="B23" s="99"/>
    </row>
  </sheetData>
  <sheetProtection/>
  <printOptions horizontalCentered="1"/>
  <pageMargins left="0.7874015748031497" right="0.7874015748031497" top="0.7874015748031497" bottom="0.5905511811023623" header="0.2362204724409449" footer="0.11811023622047245"/>
  <pageSetup firstPageNumber="116" useFirstPageNumber="1" horizontalDpi="1200" verticalDpi="1200" orientation="portrait" paperSize="9" scale="88" r:id="rId1"/>
  <headerFooter alignWithMargins="0">
    <oddFooter xml:space="preserve">&amp;C&amp;8&amp;P&amp;10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8"/>
  <sheetViews>
    <sheetView showZeros="0" view="pageBreakPreview" zoomScaleNormal="85" zoomScaleSheetLayoutView="100" zoomScalePageLayoutView="0" workbookViewId="0" topLeftCell="A175">
      <selection activeCell="H206" sqref="H206"/>
    </sheetView>
  </sheetViews>
  <sheetFormatPr defaultColWidth="11.421875" defaultRowHeight="12.75"/>
  <cols>
    <col min="1" max="1" width="4.00390625" style="120" bestFit="1" customWidth="1"/>
    <col min="2" max="2" width="1.57421875" style="99" customWidth="1"/>
    <col min="3" max="3" width="38.28125" style="99" customWidth="1"/>
    <col min="4" max="4" width="18.421875" style="99" customWidth="1"/>
    <col min="5" max="5" width="15.8515625" style="99" customWidth="1"/>
    <col min="6" max="6" width="19.28125" style="99" customWidth="1"/>
    <col min="7" max="7" width="16.8515625" style="99" bestFit="1" customWidth="1"/>
    <col min="8" max="16384" width="11.421875" style="99" customWidth="1"/>
  </cols>
  <sheetData>
    <row r="1" spans="1:7" ht="12.75">
      <c r="A1" s="298" t="s">
        <v>253</v>
      </c>
      <c r="B1" s="299"/>
      <c r="C1" s="299"/>
      <c r="D1" s="299"/>
      <c r="E1" s="299"/>
      <c r="F1" s="299"/>
      <c r="G1" s="299"/>
    </row>
    <row r="2" spans="1:7" ht="20.25" customHeight="1">
      <c r="A2" s="298" t="s">
        <v>22</v>
      </c>
      <c r="B2" s="298"/>
      <c r="C2" s="298"/>
      <c r="D2" s="298"/>
      <c r="E2" s="298"/>
      <c r="F2" s="298"/>
      <c r="G2" s="298"/>
    </row>
    <row r="3" spans="1:7" ht="13.5" thickBot="1">
      <c r="A3" s="191"/>
      <c r="B3" s="98"/>
      <c r="C3" s="98"/>
      <c r="D3" s="48"/>
      <c r="E3" s="98"/>
      <c r="F3" s="98"/>
      <c r="G3" s="98"/>
    </row>
    <row r="4" spans="1:7" ht="12.75">
      <c r="A4" s="294" t="s">
        <v>10</v>
      </c>
      <c r="B4" s="294"/>
      <c r="C4" s="295"/>
      <c r="D4" s="180" t="s">
        <v>6</v>
      </c>
      <c r="E4" s="180" t="s">
        <v>78</v>
      </c>
      <c r="F4" s="180" t="s">
        <v>7</v>
      </c>
      <c r="G4" s="249" t="s">
        <v>76</v>
      </c>
    </row>
    <row r="5" spans="1:7" ht="12.75">
      <c r="A5" s="296"/>
      <c r="B5" s="296"/>
      <c r="C5" s="297"/>
      <c r="D5" s="181" t="s">
        <v>11</v>
      </c>
      <c r="E5" s="181" t="s">
        <v>11</v>
      </c>
      <c r="F5" s="181" t="s">
        <v>11</v>
      </c>
      <c r="G5" s="203" t="s">
        <v>77</v>
      </c>
    </row>
    <row r="6" spans="1:7" ht="12.75">
      <c r="A6" s="332"/>
      <c r="B6" s="332"/>
      <c r="C6" s="333"/>
      <c r="D6" s="193" t="s">
        <v>13</v>
      </c>
      <c r="E6" s="193" t="s">
        <v>13</v>
      </c>
      <c r="F6" s="193" t="s">
        <v>13</v>
      </c>
      <c r="G6" s="205" t="s">
        <v>13</v>
      </c>
    </row>
    <row r="7" spans="1:7" ht="12.75">
      <c r="A7" s="191"/>
      <c r="B7" s="98"/>
      <c r="C7" s="98"/>
      <c r="D7" s="201"/>
      <c r="E7" s="201"/>
      <c r="F7" s="330"/>
      <c r="G7" s="331"/>
    </row>
    <row r="8" spans="1:7" ht="12.75">
      <c r="A8" s="207" t="s">
        <v>14</v>
      </c>
      <c r="B8" s="183" t="s">
        <v>75</v>
      </c>
      <c r="C8" s="98" t="s">
        <v>209</v>
      </c>
      <c r="D8" s="184">
        <v>2562261.5</v>
      </c>
      <c r="E8" s="184">
        <v>1658163.88</v>
      </c>
      <c r="F8" s="185">
        <f aca="true" t="shared" si="0" ref="F8:F27">D8-E8</f>
        <v>904097.6200000001</v>
      </c>
      <c r="G8" s="185">
        <v>2605220.97</v>
      </c>
    </row>
    <row r="9" spans="1:7" ht="12.75">
      <c r="A9" s="207" t="s">
        <v>15</v>
      </c>
      <c r="B9" s="183" t="s">
        <v>75</v>
      </c>
      <c r="C9" s="98" t="s">
        <v>147</v>
      </c>
      <c r="D9" s="184">
        <v>1319354</v>
      </c>
      <c r="E9" s="184">
        <v>1505883.12</v>
      </c>
      <c r="F9" s="185">
        <f t="shared" si="0"/>
        <v>-186529.1200000001</v>
      </c>
      <c r="G9" s="185">
        <v>858086.31</v>
      </c>
    </row>
    <row r="10" spans="1:7" ht="12.75">
      <c r="A10" s="207" t="s">
        <v>16</v>
      </c>
      <c r="B10" s="183" t="s">
        <v>75</v>
      </c>
      <c r="C10" s="98" t="s">
        <v>206</v>
      </c>
      <c r="D10" s="184">
        <v>111000</v>
      </c>
      <c r="E10" s="184">
        <v>1016260.53</v>
      </c>
      <c r="F10" s="185">
        <f t="shared" si="0"/>
        <v>-905260.53</v>
      </c>
      <c r="G10" s="185">
        <v>85813.9</v>
      </c>
    </row>
    <row r="11" spans="1:7" s="100" customFormat="1" ht="12.75" customHeight="1">
      <c r="A11" s="207" t="s">
        <v>17</v>
      </c>
      <c r="B11" s="183" t="s">
        <v>75</v>
      </c>
      <c r="C11" s="98" t="s">
        <v>148</v>
      </c>
      <c r="D11" s="186">
        <v>757762</v>
      </c>
      <c r="E11" s="184">
        <f>(777927.74-3865.17)</f>
        <v>774062.57</v>
      </c>
      <c r="F11" s="185">
        <f t="shared" si="0"/>
        <v>-16300.569999999949</v>
      </c>
      <c r="G11" s="185">
        <v>426082</v>
      </c>
    </row>
    <row r="12" spans="1:7" s="100" customFormat="1" ht="12.75" customHeight="1">
      <c r="A12" s="207" t="s">
        <v>18</v>
      </c>
      <c r="B12" s="183" t="s">
        <v>75</v>
      </c>
      <c r="C12" s="98" t="s">
        <v>204</v>
      </c>
      <c r="D12" s="184">
        <v>284893</v>
      </c>
      <c r="E12" s="184">
        <v>414663.18</v>
      </c>
      <c r="F12" s="185">
        <f t="shared" si="0"/>
        <v>-129770.18</v>
      </c>
      <c r="G12" s="185">
        <v>-67970.01</v>
      </c>
    </row>
    <row r="13" spans="1:7" ht="12.75">
      <c r="A13" s="207" t="s">
        <v>19</v>
      </c>
      <c r="B13" s="183" t="s">
        <v>75</v>
      </c>
      <c r="C13" s="98" t="s">
        <v>127</v>
      </c>
      <c r="D13" s="187">
        <v>6726732.74</v>
      </c>
      <c r="E13" s="187">
        <v>5676649.92</v>
      </c>
      <c r="F13" s="185">
        <f t="shared" si="0"/>
        <v>1050082.8200000003</v>
      </c>
      <c r="G13" s="209">
        <v>5301378.13</v>
      </c>
    </row>
    <row r="14" spans="1:7" ht="12.75">
      <c r="A14" s="207" t="s">
        <v>20</v>
      </c>
      <c r="B14" s="183" t="s">
        <v>75</v>
      </c>
      <c r="C14" s="98" t="s">
        <v>207</v>
      </c>
      <c r="D14" s="188">
        <v>877693.51</v>
      </c>
      <c r="E14" s="188">
        <v>740349.07</v>
      </c>
      <c r="F14" s="185">
        <f t="shared" si="0"/>
        <v>137344.44000000006</v>
      </c>
      <c r="G14" s="209">
        <v>2742282.93</v>
      </c>
    </row>
    <row r="15" spans="1:7" ht="12.75">
      <c r="A15" s="207" t="s">
        <v>23</v>
      </c>
      <c r="B15" s="183" t="s">
        <v>75</v>
      </c>
      <c r="C15" s="98" t="s">
        <v>176</v>
      </c>
      <c r="D15" s="186">
        <v>1031828</v>
      </c>
      <c r="E15" s="103">
        <v>465525.1</v>
      </c>
      <c r="F15" s="185">
        <f t="shared" si="0"/>
        <v>566302.9</v>
      </c>
      <c r="G15" s="209">
        <v>659170.7</v>
      </c>
    </row>
    <row r="16" spans="1:7" ht="12.75">
      <c r="A16" s="207" t="s">
        <v>24</v>
      </c>
      <c r="B16" s="183" t="s">
        <v>75</v>
      </c>
      <c r="C16" s="98" t="s">
        <v>267</v>
      </c>
      <c r="D16" s="188">
        <v>1144311.92</v>
      </c>
      <c r="E16" s="188">
        <v>4015667.03</v>
      </c>
      <c r="F16" s="185">
        <f t="shared" si="0"/>
        <v>-2871355.11</v>
      </c>
      <c r="G16" s="209">
        <v>-13944042.42</v>
      </c>
    </row>
    <row r="17" spans="1:7" ht="12.75">
      <c r="A17" s="207" t="s">
        <v>25</v>
      </c>
      <c r="B17" s="183" t="s">
        <v>75</v>
      </c>
      <c r="C17" s="98" t="s">
        <v>244</v>
      </c>
      <c r="D17" s="188">
        <v>1298835</v>
      </c>
      <c r="E17" s="188">
        <v>1364757.31</v>
      </c>
      <c r="F17" s="185">
        <f t="shared" si="0"/>
        <v>-65922.31000000006</v>
      </c>
      <c r="G17" s="209">
        <v>633952.86</v>
      </c>
    </row>
    <row r="18" spans="1:7" ht="12.75">
      <c r="A18" s="207" t="s">
        <v>26</v>
      </c>
      <c r="B18" s="183" t="s">
        <v>75</v>
      </c>
      <c r="C18" s="98" t="s">
        <v>169</v>
      </c>
      <c r="D18" s="188">
        <v>1489394.35</v>
      </c>
      <c r="E18" s="188">
        <v>990269.89</v>
      </c>
      <c r="F18" s="185">
        <f t="shared" si="0"/>
        <v>499124.4600000001</v>
      </c>
      <c r="G18" s="209">
        <v>1199400.94</v>
      </c>
    </row>
    <row r="19" spans="1:7" ht="12.75">
      <c r="A19" s="207" t="s">
        <v>27</v>
      </c>
      <c r="B19" s="183" t="s">
        <v>75</v>
      </c>
      <c r="C19" s="98" t="s">
        <v>126</v>
      </c>
      <c r="D19" s="188">
        <v>1646128.48</v>
      </c>
      <c r="E19" s="188">
        <v>1393880.95</v>
      </c>
      <c r="F19" s="185">
        <f t="shared" si="0"/>
        <v>252247.53000000003</v>
      </c>
      <c r="G19" s="209">
        <v>176477.48</v>
      </c>
    </row>
    <row r="20" spans="1:7" ht="12.75">
      <c r="A20" s="207" t="s">
        <v>28</v>
      </c>
      <c r="B20" s="183" t="s">
        <v>75</v>
      </c>
      <c r="C20" s="98" t="s">
        <v>238</v>
      </c>
      <c r="D20" s="188">
        <v>2327770.78</v>
      </c>
      <c r="E20" s="188">
        <v>1003992.46</v>
      </c>
      <c r="F20" s="185">
        <f t="shared" si="0"/>
        <v>1323778.3199999998</v>
      </c>
      <c r="G20" s="209">
        <v>-917731.36</v>
      </c>
    </row>
    <row r="21" spans="1:7" ht="12.75">
      <c r="A21" s="207" t="s">
        <v>29</v>
      </c>
      <c r="B21" s="183" t="s">
        <v>75</v>
      </c>
      <c r="C21" s="98" t="s">
        <v>177</v>
      </c>
      <c r="D21" s="188">
        <v>1883091.81</v>
      </c>
      <c r="E21" s="188">
        <v>1231885.78</v>
      </c>
      <c r="F21" s="185">
        <f t="shared" si="0"/>
        <v>651206.03</v>
      </c>
      <c r="G21" s="209">
        <v>1849773.69</v>
      </c>
    </row>
    <row r="22" spans="1:7" ht="12.75">
      <c r="A22" s="207" t="s">
        <v>30</v>
      </c>
      <c r="B22" s="183" t="s">
        <v>75</v>
      </c>
      <c r="C22" s="98" t="s">
        <v>105</v>
      </c>
      <c r="D22" s="188">
        <v>878475</v>
      </c>
      <c r="E22" s="188">
        <v>866749.14</v>
      </c>
      <c r="F22" s="185">
        <f t="shared" si="0"/>
        <v>11725.859999999986</v>
      </c>
      <c r="G22" s="209">
        <v>325170.21</v>
      </c>
    </row>
    <row r="23" spans="1:7" ht="12.75">
      <c r="A23" s="207" t="s">
        <v>31</v>
      </c>
      <c r="B23" s="183" t="s">
        <v>75</v>
      </c>
      <c r="C23" s="98" t="s">
        <v>262</v>
      </c>
      <c r="D23" s="188">
        <v>1411747.5</v>
      </c>
      <c r="E23" s="188">
        <v>1143145.77</v>
      </c>
      <c r="F23" s="185">
        <f t="shared" si="0"/>
        <v>268601.73</v>
      </c>
      <c r="G23" s="209">
        <v>387007.43</v>
      </c>
    </row>
    <row r="24" spans="1:7" ht="12.75">
      <c r="A24" s="207" t="s">
        <v>32</v>
      </c>
      <c r="B24" s="183" t="s">
        <v>75</v>
      </c>
      <c r="C24" s="98" t="s">
        <v>149</v>
      </c>
      <c r="D24" s="188">
        <v>261136</v>
      </c>
      <c r="E24" s="188">
        <v>360868.16</v>
      </c>
      <c r="F24" s="185">
        <f t="shared" si="0"/>
        <v>-99732.15999999997</v>
      </c>
      <c r="G24" s="209">
        <v>75435.62</v>
      </c>
    </row>
    <row r="25" spans="1:7" ht="12.75">
      <c r="A25" s="207" t="s">
        <v>33</v>
      </c>
      <c r="B25" s="183" t="s">
        <v>75</v>
      </c>
      <c r="C25" s="98" t="s">
        <v>150</v>
      </c>
      <c r="D25" s="188">
        <v>889671</v>
      </c>
      <c r="E25" s="188">
        <v>1389043.87</v>
      </c>
      <c r="F25" s="185">
        <f t="shared" si="0"/>
        <v>-499372.8700000001</v>
      </c>
      <c r="G25" s="209">
        <v>425367.55</v>
      </c>
    </row>
    <row r="26" spans="1:7" ht="12.75">
      <c r="A26" s="207" t="s">
        <v>138</v>
      </c>
      <c r="B26" s="183" t="s">
        <v>75</v>
      </c>
      <c r="C26" s="183" t="s">
        <v>116</v>
      </c>
      <c r="D26" s="188">
        <v>1076080</v>
      </c>
      <c r="E26" s="188">
        <v>769794.89</v>
      </c>
      <c r="F26" s="185">
        <f t="shared" si="0"/>
        <v>306285.11</v>
      </c>
      <c r="G26" s="209">
        <v>1123923.33</v>
      </c>
    </row>
    <row r="27" spans="1:7" ht="12.75">
      <c r="A27" s="207"/>
      <c r="B27" s="183"/>
      <c r="C27" s="98"/>
      <c r="D27" s="188"/>
      <c r="E27" s="188"/>
      <c r="F27" s="185">
        <f t="shared" si="0"/>
        <v>0</v>
      </c>
      <c r="G27" s="209"/>
    </row>
    <row r="28" spans="1:7" ht="18.75" customHeight="1" thickBot="1">
      <c r="A28" s="300" t="s">
        <v>21</v>
      </c>
      <c r="B28" s="300"/>
      <c r="C28" s="301"/>
      <c r="D28" s="199">
        <f>SUM(D8:D27)</f>
        <v>27978166.59</v>
      </c>
      <c r="E28" s="199">
        <f>SUM(E8:E27)</f>
        <v>26781612.62</v>
      </c>
      <c r="F28" s="199">
        <f>SUM(F8:F27)</f>
        <v>1196553.9700000002</v>
      </c>
      <c r="G28" s="253">
        <f>SUM(G8:G27)</f>
        <v>3944800.26</v>
      </c>
    </row>
    <row r="29" spans="1:7" ht="15.75" customHeight="1">
      <c r="A29" s="189"/>
      <c r="B29" s="189"/>
      <c r="C29" s="189"/>
      <c r="D29" s="190"/>
      <c r="E29" s="190"/>
      <c r="F29" s="190"/>
      <c r="G29" s="190"/>
    </row>
    <row r="30" spans="1:7" ht="18" customHeight="1">
      <c r="A30" s="298" t="s">
        <v>253</v>
      </c>
      <c r="B30" s="299"/>
      <c r="C30" s="299"/>
      <c r="D30" s="299"/>
      <c r="E30" s="299"/>
      <c r="F30" s="299"/>
      <c r="G30" s="299"/>
    </row>
    <row r="31" spans="1:7" ht="12.75">
      <c r="A31" s="299" t="s">
        <v>34</v>
      </c>
      <c r="B31" s="299"/>
      <c r="C31" s="299"/>
      <c r="D31" s="299"/>
      <c r="E31" s="299"/>
      <c r="F31" s="299"/>
      <c r="G31" s="299"/>
    </row>
    <row r="32" spans="1:7" ht="20.25" customHeight="1" thickBot="1">
      <c r="A32" s="191"/>
      <c r="B32" s="98"/>
      <c r="C32" s="98"/>
      <c r="D32" s="63"/>
      <c r="E32" s="98"/>
      <c r="F32" s="98"/>
      <c r="G32" s="98"/>
    </row>
    <row r="33" spans="1:7" ht="12.75">
      <c r="A33" s="250"/>
      <c r="B33" s="182"/>
      <c r="C33" s="182"/>
      <c r="D33" s="180" t="s">
        <v>6</v>
      </c>
      <c r="E33" s="180" t="s">
        <v>78</v>
      </c>
      <c r="F33" s="180" t="s">
        <v>7</v>
      </c>
      <c r="G33" s="249" t="s">
        <v>76</v>
      </c>
    </row>
    <row r="34" spans="1:7" ht="12.75">
      <c r="A34" s="191"/>
      <c r="B34" s="98"/>
      <c r="C34" s="48" t="s">
        <v>200</v>
      </c>
      <c r="D34" s="181" t="s">
        <v>11</v>
      </c>
      <c r="E34" s="181" t="s">
        <v>11</v>
      </c>
      <c r="F34" s="181" t="s">
        <v>11</v>
      </c>
      <c r="G34" s="203" t="s">
        <v>77</v>
      </c>
    </row>
    <row r="35" spans="1:7" ht="12.75">
      <c r="A35" s="204"/>
      <c r="B35" s="192"/>
      <c r="C35" s="192"/>
      <c r="D35" s="193" t="s">
        <v>13</v>
      </c>
      <c r="E35" s="193" t="s">
        <v>13</v>
      </c>
      <c r="F35" s="193" t="s">
        <v>13</v>
      </c>
      <c r="G35" s="203" t="s">
        <v>13</v>
      </c>
    </row>
    <row r="36" spans="1:7" ht="12.75">
      <c r="A36" s="191"/>
      <c r="B36" s="98"/>
      <c r="C36" s="98"/>
      <c r="D36" s="194"/>
      <c r="E36" s="194"/>
      <c r="F36" s="195"/>
      <c r="G36" s="251"/>
    </row>
    <row r="37" spans="1:7" ht="12.75">
      <c r="A37" s="207" t="s">
        <v>14</v>
      </c>
      <c r="B37" s="183" t="s">
        <v>75</v>
      </c>
      <c r="C37" s="98" t="s">
        <v>181</v>
      </c>
      <c r="D37" s="187">
        <v>2430742.97</v>
      </c>
      <c r="E37" s="187">
        <v>3882476.76</v>
      </c>
      <c r="F37" s="196">
        <f aca="true" t="shared" si="1" ref="F37:F59">D37-E37</f>
        <v>-1451733.7899999996</v>
      </c>
      <c r="G37" s="185">
        <v>-1550544.8</v>
      </c>
    </row>
    <row r="38" spans="1:7" ht="12.75">
      <c r="A38" s="207" t="s">
        <v>15</v>
      </c>
      <c r="B38" s="183" t="s">
        <v>75</v>
      </c>
      <c r="C38" s="98" t="s">
        <v>171</v>
      </c>
      <c r="D38" s="187">
        <v>235778.4</v>
      </c>
      <c r="E38" s="187">
        <v>240621.46</v>
      </c>
      <c r="F38" s="196">
        <f t="shared" si="1"/>
        <v>-4843.059999999998</v>
      </c>
      <c r="G38" s="185">
        <v>-107718.61</v>
      </c>
    </row>
    <row r="39" spans="1:7" ht="12.75">
      <c r="A39" s="207" t="s">
        <v>16</v>
      </c>
      <c r="B39" s="183" t="s">
        <v>75</v>
      </c>
      <c r="C39" s="98" t="s">
        <v>179</v>
      </c>
      <c r="D39" s="187">
        <v>719540.2</v>
      </c>
      <c r="E39" s="187">
        <v>1406841.53</v>
      </c>
      <c r="F39" s="196">
        <f t="shared" si="1"/>
        <v>-687301.3300000001</v>
      </c>
      <c r="G39" s="185">
        <v>305059.43</v>
      </c>
    </row>
    <row r="40" spans="1:7" ht="12.75">
      <c r="A40" s="207" t="s">
        <v>17</v>
      </c>
      <c r="B40" s="183" t="s">
        <v>75</v>
      </c>
      <c r="C40" s="98" t="s">
        <v>278</v>
      </c>
      <c r="D40" s="187">
        <v>469026.66</v>
      </c>
      <c r="E40" s="187">
        <v>1066322.23</v>
      </c>
      <c r="F40" s="196">
        <f t="shared" si="1"/>
        <v>-597295.5700000001</v>
      </c>
      <c r="G40" s="185">
        <v>617494.5</v>
      </c>
    </row>
    <row r="41" spans="1:7" ht="12.75">
      <c r="A41" s="207" t="s">
        <v>18</v>
      </c>
      <c r="B41" s="183" t="s">
        <v>75</v>
      </c>
      <c r="C41" s="98" t="s">
        <v>268</v>
      </c>
      <c r="D41" s="187">
        <v>40307.96</v>
      </c>
      <c r="E41" s="187">
        <v>218946.91</v>
      </c>
      <c r="F41" s="234">
        <f t="shared" si="1"/>
        <v>-178638.95</v>
      </c>
      <c r="G41" s="119">
        <v>309496.23</v>
      </c>
    </row>
    <row r="42" spans="1:7" ht="12.75">
      <c r="A42" s="207" t="s">
        <v>19</v>
      </c>
      <c r="B42" s="183" t="s">
        <v>75</v>
      </c>
      <c r="C42" s="98" t="s">
        <v>182</v>
      </c>
      <c r="D42" s="187">
        <v>3612399.43</v>
      </c>
      <c r="E42" s="187">
        <v>3711188.24</v>
      </c>
      <c r="F42" s="234">
        <f t="shared" si="1"/>
        <v>-98788.81000000006</v>
      </c>
      <c r="G42" s="119">
        <v>221611.46</v>
      </c>
    </row>
    <row r="43" spans="1:7" s="197" customFormat="1" ht="12.75">
      <c r="A43" s="207" t="s">
        <v>20</v>
      </c>
      <c r="B43" s="183" t="s">
        <v>75</v>
      </c>
      <c r="C43" s="98" t="s">
        <v>129</v>
      </c>
      <c r="D43" s="187">
        <v>5471463.87</v>
      </c>
      <c r="E43" s="98">
        <v>4105453.32</v>
      </c>
      <c r="F43" s="234">
        <f t="shared" si="1"/>
        <v>1366010.5500000003</v>
      </c>
      <c r="G43" s="119">
        <v>-4982330.18</v>
      </c>
    </row>
    <row r="44" spans="1:7" ht="12.75">
      <c r="A44" s="207" t="s">
        <v>23</v>
      </c>
      <c r="B44" s="183" t="s">
        <v>75</v>
      </c>
      <c r="C44" s="98" t="s">
        <v>203</v>
      </c>
      <c r="D44" s="187">
        <v>1358342.91</v>
      </c>
      <c r="E44" s="187">
        <v>922141.3</v>
      </c>
      <c r="F44" s="234">
        <f t="shared" si="1"/>
        <v>436201.60999999987</v>
      </c>
      <c r="G44" s="98">
        <v>710375.67</v>
      </c>
    </row>
    <row r="45" spans="1:7" ht="12.75">
      <c r="A45" s="207" t="s">
        <v>24</v>
      </c>
      <c r="B45" s="183" t="s">
        <v>75</v>
      </c>
      <c r="C45" s="98" t="s">
        <v>270</v>
      </c>
      <c r="D45" s="187">
        <v>105938.1</v>
      </c>
      <c r="E45" s="187">
        <v>94287.73</v>
      </c>
      <c r="F45" s="234">
        <f t="shared" si="1"/>
        <v>11650.37000000001</v>
      </c>
      <c r="G45" s="98">
        <v>150792.84</v>
      </c>
    </row>
    <row r="46" spans="1:7" ht="12.75">
      <c r="A46" s="207" t="s">
        <v>25</v>
      </c>
      <c r="B46" s="183" t="s">
        <v>75</v>
      </c>
      <c r="C46" s="98" t="s">
        <v>272</v>
      </c>
      <c r="D46" s="187">
        <v>70558.5</v>
      </c>
      <c r="E46" s="187">
        <v>85595.12</v>
      </c>
      <c r="F46" s="234">
        <f t="shared" si="1"/>
        <v>-15036.619999999995</v>
      </c>
      <c r="G46" s="98">
        <v>189549.41</v>
      </c>
    </row>
    <row r="47" spans="1:7" ht="12.75">
      <c r="A47" s="207" t="s">
        <v>26</v>
      </c>
      <c r="B47" s="183" t="s">
        <v>75</v>
      </c>
      <c r="C47" s="98" t="s">
        <v>153</v>
      </c>
      <c r="D47" s="188">
        <v>1903952.25</v>
      </c>
      <c r="E47" s="188">
        <v>8472170.91</v>
      </c>
      <c r="F47" s="234">
        <f t="shared" si="1"/>
        <v>-6568218.66</v>
      </c>
      <c r="G47" s="208">
        <v>-11786387.72</v>
      </c>
    </row>
    <row r="48" spans="1:7" ht="12.75">
      <c r="A48" s="207" t="s">
        <v>27</v>
      </c>
      <c r="B48" s="183" t="s">
        <v>75</v>
      </c>
      <c r="C48" s="98" t="s">
        <v>266</v>
      </c>
      <c r="D48" s="188">
        <v>865016.66</v>
      </c>
      <c r="E48" s="188">
        <v>647856.56</v>
      </c>
      <c r="F48" s="196">
        <f t="shared" si="1"/>
        <v>217160.09999999998</v>
      </c>
      <c r="G48" s="209">
        <v>657401.27</v>
      </c>
    </row>
    <row r="49" spans="1:7" ht="12.75">
      <c r="A49" s="207" t="s">
        <v>28</v>
      </c>
      <c r="B49" s="183" t="s">
        <v>75</v>
      </c>
      <c r="C49" s="98" t="s">
        <v>152</v>
      </c>
      <c r="D49" s="188">
        <v>1024015.75</v>
      </c>
      <c r="E49" s="188">
        <v>921958</v>
      </c>
      <c r="F49" s="196">
        <f t="shared" si="1"/>
        <v>102057.75</v>
      </c>
      <c r="G49" s="209">
        <v>1382434.47</v>
      </c>
    </row>
    <row r="50" spans="1:7" ht="12.75">
      <c r="A50" s="207" t="s">
        <v>29</v>
      </c>
      <c r="B50" s="183" t="s">
        <v>75</v>
      </c>
      <c r="C50" s="98" t="s">
        <v>275</v>
      </c>
      <c r="D50" s="188">
        <v>7050</v>
      </c>
      <c r="E50" s="188">
        <v>49770</v>
      </c>
      <c r="F50" s="196">
        <f t="shared" si="1"/>
        <v>-42720</v>
      </c>
      <c r="G50" s="209">
        <v>61140.1</v>
      </c>
    </row>
    <row r="51" spans="1:7" ht="12.75">
      <c r="A51" s="207" t="s">
        <v>30</v>
      </c>
      <c r="B51" s="183" t="s">
        <v>75</v>
      </c>
      <c r="C51" s="98" t="s">
        <v>106</v>
      </c>
      <c r="D51" s="187">
        <v>22031958.41</v>
      </c>
      <c r="E51" s="187">
        <v>22493883.01</v>
      </c>
      <c r="F51" s="196">
        <f t="shared" si="1"/>
        <v>-461924.6000000015</v>
      </c>
      <c r="G51" s="209">
        <v>161535719.98</v>
      </c>
    </row>
    <row r="52" spans="1:7" ht="12.75">
      <c r="A52" s="207" t="s">
        <v>31</v>
      </c>
      <c r="B52" s="183" t="s">
        <v>75</v>
      </c>
      <c r="C52" s="98" t="s">
        <v>95</v>
      </c>
      <c r="D52" s="188">
        <v>269732</v>
      </c>
      <c r="E52" s="188">
        <v>185820.61</v>
      </c>
      <c r="F52" s="196">
        <f t="shared" si="1"/>
        <v>83911.39000000001</v>
      </c>
      <c r="G52" s="209">
        <v>140154.22</v>
      </c>
    </row>
    <row r="53" spans="1:7" ht="12.75">
      <c r="A53" s="207" t="s">
        <v>32</v>
      </c>
      <c r="B53" s="183" t="s">
        <v>75</v>
      </c>
      <c r="C53" s="98" t="s">
        <v>184</v>
      </c>
      <c r="D53" s="187">
        <v>727904.2</v>
      </c>
      <c r="E53" s="187">
        <v>589933.08</v>
      </c>
      <c r="F53" s="196">
        <f t="shared" si="1"/>
        <v>137971.12</v>
      </c>
      <c r="G53" s="209">
        <v>-175804.95</v>
      </c>
    </row>
    <row r="54" spans="1:7" ht="12.75">
      <c r="A54" s="207" t="s">
        <v>33</v>
      </c>
      <c r="B54" s="183" t="s">
        <v>75</v>
      </c>
      <c r="C54" s="198" t="s">
        <v>174</v>
      </c>
      <c r="D54" s="187">
        <v>11696520.26</v>
      </c>
      <c r="E54" s="187">
        <f>(7278059.58+4290404.3)</f>
        <v>11568463.879999999</v>
      </c>
      <c r="F54" s="196">
        <f t="shared" si="1"/>
        <v>128056.38000000082</v>
      </c>
      <c r="G54" s="209">
        <v>18411906.87</v>
      </c>
    </row>
    <row r="55" spans="1:7" ht="12.75">
      <c r="A55" s="207" t="s">
        <v>138</v>
      </c>
      <c r="B55" s="183" t="s">
        <v>75</v>
      </c>
      <c r="C55" s="98" t="s">
        <v>279</v>
      </c>
      <c r="D55" s="187">
        <v>1638655.21</v>
      </c>
      <c r="E55" s="187">
        <v>814179.96</v>
      </c>
      <c r="F55" s="196">
        <f t="shared" si="1"/>
        <v>824475.25</v>
      </c>
      <c r="G55" s="209">
        <v>395245.47</v>
      </c>
    </row>
    <row r="56" spans="1:7" ht="12.75">
      <c r="A56" s="207" t="s">
        <v>166</v>
      </c>
      <c r="B56" s="183" t="s">
        <v>75</v>
      </c>
      <c r="C56" s="98" t="s">
        <v>97</v>
      </c>
      <c r="D56" s="187">
        <v>668879.51</v>
      </c>
      <c r="E56" s="187">
        <v>501655.23</v>
      </c>
      <c r="F56" s="196">
        <f t="shared" si="1"/>
        <v>167224.28000000003</v>
      </c>
      <c r="G56" s="209">
        <v>342081.39</v>
      </c>
    </row>
    <row r="57" spans="1:7" ht="12.75">
      <c r="A57" s="207" t="s">
        <v>167</v>
      </c>
      <c r="B57" s="183" t="s">
        <v>75</v>
      </c>
      <c r="C57" s="98" t="s">
        <v>276</v>
      </c>
      <c r="D57" s="187">
        <v>1576161</v>
      </c>
      <c r="E57" s="187">
        <v>2652065.45</v>
      </c>
      <c r="F57" s="196">
        <f t="shared" si="1"/>
        <v>-1075904.4500000002</v>
      </c>
      <c r="G57" s="209">
        <v>668359.11</v>
      </c>
    </row>
    <row r="58" spans="1:7" ht="12.75">
      <c r="A58" s="207" t="s">
        <v>168</v>
      </c>
      <c r="B58" s="183" t="s">
        <v>75</v>
      </c>
      <c r="C58" s="98" t="s">
        <v>280</v>
      </c>
      <c r="D58" s="187">
        <v>1607687</v>
      </c>
      <c r="E58" s="187">
        <v>3113707</v>
      </c>
      <c r="F58" s="196">
        <f t="shared" si="1"/>
        <v>-1506020</v>
      </c>
      <c r="G58" s="209">
        <v>1829789.02</v>
      </c>
    </row>
    <row r="59" spans="1:7" ht="12.75">
      <c r="A59" s="207"/>
      <c r="B59" s="183"/>
      <c r="C59" s="98"/>
      <c r="D59" s="187"/>
      <c r="E59" s="187"/>
      <c r="F59" s="196">
        <f t="shared" si="1"/>
        <v>0</v>
      </c>
      <c r="G59" s="252"/>
    </row>
    <row r="60" spans="1:7" ht="18" customHeight="1" thickBot="1">
      <c r="A60" s="300" t="s">
        <v>21</v>
      </c>
      <c r="B60" s="300"/>
      <c r="C60" s="301"/>
      <c r="D60" s="199">
        <f>SUM(D37:D59)</f>
        <v>58531631.25</v>
      </c>
      <c r="E60" s="199">
        <f>SUM(E37:E59)</f>
        <v>67745338.28999999</v>
      </c>
      <c r="F60" s="200">
        <f>SUM(F37:F59)</f>
        <v>-9213707.040000001</v>
      </c>
      <c r="G60" s="253">
        <f>SUM(G37:G59)</f>
        <v>169325825.18</v>
      </c>
    </row>
    <row r="61" spans="1:7" ht="18.75" customHeight="1">
      <c r="A61" s="189"/>
      <c r="B61" s="189"/>
      <c r="C61" s="189"/>
      <c r="D61" s="190"/>
      <c r="E61" s="190"/>
      <c r="F61" s="190"/>
      <c r="G61" s="190"/>
    </row>
    <row r="62" spans="1:7" ht="13.5" customHeight="1">
      <c r="A62" s="298" t="s">
        <v>253</v>
      </c>
      <c r="B62" s="299"/>
      <c r="C62" s="299"/>
      <c r="D62" s="299"/>
      <c r="E62" s="299"/>
      <c r="F62" s="299"/>
      <c r="G62" s="299"/>
    </row>
    <row r="63" spans="1:7" ht="16.5" customHeight="1">
      <c r="A63" s="298" t="s">
        <v>71</v>
      </c>
      <c r="B63" s="298"/>
      <c r="C63" s="298"/>
      <c r="D63" s="298"/>
      <c r="E63" s="298"/>
      <c r="F63" s="298"/>
      <c r="G63" s="298"/>
    </row>
    <row r="64" spans="1:7" ht="15.75" customHeight="1" thickBot="1">
      <c r="A64" s="191"/>
      <c r="B64" s="98"/>
      <c r="C64" s="98"/>
      <c r="D64" s="98"/>
      <c r="E64" s="98"/>
      <c r="F64" s="98"/>
      <c r="G64" s="98"/>
    </row>
    <row r="65" spans="1:7" ht="12.75">
      <c r="A65" s="250"/>
      <c r="B65" s="182"/>
      <c r="C65" s="182"/>
      <c r="D65" s="180" t="s">
        <v>6</v>
      </c>
      <c r="E65" s="180" t="s">
        <v>78</v>
      </c>
      <c r="F65" s="180" t="s">
        <v>7</v>
      </c>
      <c r="G65" s="249" t="s">
        <v>76</v>
      </c>
    </row>
    <row r="66" spans="1:7" ht="12.75">
      <c r="A66" s="191"/>
      <c r="B66" s="98"/>
      <c r="C66" s="48" t="s">
        <v>199</v>
      </c>
      <c r="D66" s="181" t="s">
        <v>11</v>
      </c>
      <c r="E66" s="181" t="s">
        <v>11</v>
      </c>
      <c r="F66" s="181" t="s">
        <v>11</v>
      </c>
      <c r="G66" s="203" t="s">
        <v>77</v>
      </c>
    </row>
    <row r="67" spans="1:7" ht="12.75">
      <c r="A67" s="204"/>
      <c r="B67" s="192"/>
      <c r="C67" s="192"/>
      <c r="D67" s="193" t="s">
        <v>13</v>
      </c>
      <c r="E67" s="193" t="s">
        <v>13</v>
      </c>
      <c r="F67" s="193" t="s">
        <v>13</v>
      </c>
      <c r="G67" s="205" t="s">
        <v>13</v>
      </c>
    </row>
    <row r="68" spans="1:7" ht="14.25" customHeight="1">
      <c r="A68" s="191"/>
      <c r="B68" s="98"/>
      <c r="C68" s="98"/>
      <c r="D68" s="201"/>
      <c r="E68" s="201"/>
      <c r="F68" s="201"/>
      <c r="G68" s="206"/>
    </row>
    <row r="69" spans="1:7" ht="12.75" customHeight="1">
      <c r="A69" s="207" t="s">
        <v>14</v>
      </c>
      <c r="B69" s="183" t="s">
        <v>75</v>
      </c>
      <c r="C69" s="98" t="s">
        <v>122</v>
      </c>
      <c r="D69" s="187">
        <v>8774572.21</v>
      </c>
      <c r="E69" s="187">
        <v>8631397.96</v>
      </c>
      <c r="F69" s="118">
        <f aca="true" t="shared" si="2" ref="F69:F89">D69-E69</f>
        <v>143174.25</v>
      </c>
      <c r="G69" s="208">
        <v>9307995.52</v>
      </c>
    </row>
    <row r="70" spans="1:7" ht="12.75" customHeight="1">
      <c r="A70" s="207" t="s">
        <v>15</v>
      </c>
      <c r="B70" s="183" t="s">
        <v>75</v>
      </c>
      <c r="C70" s="98" t="s">
        <v>212</v>
      </c>
      <c r="D70" s="187">
        <v>60005196</v>
      </c>
      <c r="E70" s="187">
        <v>39266646</v>
      </c>
      <c r="F70" s="118">
        <f t="shared" si="2"/>
        <v>20738550</v>
      </c>
      <c r="G70" s="208">
        <v>7907520.16</v>
      </c>
    </row>
    <row r="71" spans="1:7" ht="12.75" customHeight="1">
      <c r="A71" s="207" t="s">
        <v>16</v>
      </c>
      <c r="B71" s="183" t="s">
        <v>75</v>
      </c>
      <c r="C71" s="106" t="s">
        <v>155</v>
      </c>
      <c r="D71" s="187">
        <v>5759795.24</v>
      </c>
      <c r="E71" s="187">
        <v>18117945.66</v>
      </c>
      <c r="F71" s="118">
        <f t="shared" si="2"/>
        <v>-12358150.42</v>
      </c>
      <c r="G71" s="208">
        <v>5593847</v>
      </c>
    </row>
    <row r="72" spans="1:7" ht="12.75" customHeight="1">
      <c r="A72" s="207" t="s">
        <v>17</v>
      </c>
      <c r="B72" s="183" t="s">
        <v>75</v>
      </c>
      <c r="C72" s="98" t="s">
        <v>92</v>
      </c>
      <c r="D72" s="187">
        <v>2220292.38</v>
      </c>
      <c r="E72" s="187">
        <v>4977047.07</v>
      </c>
      <c r="F72" s="118">
        <f t="shared" si="2"/>
        <v>-2756754.6900000004</v>
      </c>
      <c r="G72" s="208">
        <v>82530.28</v>
      </c>
    </row>
    <row r="73" spans="1:7" ht="11.25" customHeight="1">
      <c r="A73" s="207" t="s">
        <v>18</v>
      </c>
      <c r="B73" s="183" t="s">
        <v>75</v>
      </c>
      <c r="C73" s="98" t="s">
        <v>252</v>
      </c>
      <c r="D73" s="187">
        <v>6300818.73</v>
      </c>
      <c r="E73" s="187">
        <v>6243669.23</v>
      </c>
      <c r="F73" s="118">
        <f t="shared" si="2"/>
        <v>57149.5</v>
      </c>
      <c r="G73" s="208">
        <v>9577.12</v>
      </c>
    </row>
    <row r="74" spans="1:7" ht="11.25" customHeight="1">
      <c r="A74" s="207" t="s">
        <v>19</v>
      </c>
      <c r="B74" s="183" t="s">
        <v>75</v>
      </c>
      <c r="C74" s="98" t="s">
        <v>130</v>
      </c>
      <c r="D74" s="187">
        <v>119806492.37</v>
      </c>
      <c r="E74" s="187">
        <f>(55709443.09+120955127.79)</f>
        <v>176664570.88</v>
      </c>
      <c r="F74" s="118">
        <f t="shared" si="2"/>
        <v>-56858078.50999999</v>
      </c>
      <c r="G74" s="208">
        <v>-130824033.66</v>
      </c>
    </row>
    <row r="75" spans="1:7" ht="12.75" customHeight="1">
      <c r="A75" s="207" t="s">
        <v>20</v>
      </c>
      <c r="B75" s="183" t="s">
        <v>75</v>
      </c>
      <c r="C75" s="98" t="s">
        <v>118</v>
      </c>
      <c r="D75" s="188">
        <v>5782327.56</v>
      </c>
      <c r="E75" s="188">
        <v>8191911.58</v>
      </c>
      <c r="F75" s="118">
        <f t="shared" si="2"/>
        <v>-2409584.0200000005</v>
      </c>
      <c r="G75" s="208">
        <v>-17722624.08</v>
      </c>
    </row>
    <row r="76" spans="1:7" ht="12.75" customHeight="1">
      <c r="A76" s="207" t="s">
        <v>23</v>
      </c>
      <c r="B76" s="183" t="s">
        <v>75</v>
      </c>
      <c r="C76" s="98" t="s">
        <v>241</v>
      </c>
      <c r="D76" s="188">
        <v>6710658</v>
      </c>
      <c r="E76" s="188">
        <v>6680949</v>
      </c>
      <c r="F76" s="118">
        <f t="shared" si="2"/>
        <v>29709</v>
      </c>
      <c r="G76" s="208">
        <v>4974397</v>
      </c>
    </row>
    <row r="77" spans="1:7" ht="12.75" customHeight="1">
      <c r="A77" s="207" t="s">
        <v>24</v>
      </c>
      <c r="B77" s="183" t="s">
        <v>75</v>
      </c>
      <c r="C77" s="98" t="s">
        <v>210</v>
      </c>
      <c r="D77" s="188">
        <v>1649397.92</v>
      </c>
      <c r="E77" s="188">
        <v>1427009.58</v>
      </c>
      <c r="F77" s="118">
        <f t="shared" si="2"/>
        <v>222388.33999999985</v>
      </c>
      <c r="G77" s="208">
        <v>47403.88</v>
      </c>
    </row>
    <row r="78" spans="1:7" ht="12.75" customHeight="1">
      <c r="A78" s="207" t="s">
        <v>25</v>
      </c>
      <c r="B78" s="183" t="s">
        <v>75</v>
      </c>
      <c r="C78" s="98" t="s">
        <v>80</v>
      </c>
      <c r="D78" s="188">
        <v>1618190.57</v>
      </c>
      <c r="E78" s="188">
        <v>982051.97</v>
      </c>
      <c r="F78" s="118">
        <f t="shared" si="2"/>
        <v>636138.6000000001</v>
      </c>
      <c r="G78" s="208">
        <v>439472.98</v>
      </c>
    </row>
    <row r="79" spans="1:7" ht="12.75" customHeight="1">
      <c r="A79" s="207" t="s">
        <v>26</v>
      </c>
      <c r="B79" s="183" t="s">
        <v>75</v>
      </c>
      <c r="C79" s="98" t="s">
        <v>98</v>
      </c>
      <c r="D79" s="188">
        <v>2580705.82</v>
      </c>
      <c r="E79" s="188">
        <v>2654436.42</v>
      </c>
      <c r="F79" s="118">
        <f t="shared" si="2"/>
        <v>-73730.6000000001</v>
      </c>
      <c r="G79" s="208">
        <v>3997896.14</v>
      </c>
    </row>
    <row r="80" spans="1:7" ht="12.75" customHeight="1">
      <c r="A80" s="207" t="s">
        <v>27</v>
      </c>
      <c r="B80" s="183" t="s">
        <v>75</v>
      </c>
      <c r="C80" s="98" t="s">
        <v>131</v>
      </c>
      <c r="D80" s="187">
        <v>968269.79</v>
      </c>
      <c r="E80" s="187">
        <v>917078.1</v>
      </c>
      <c r="F80" s="118">
        <f t="shared" si="2"/>
        <v>51191.69000000006</v>
      </c>
      <c r="G80" s="208">
        <v>65237.98</v>
      </c>
    </row>
    <row r="81" spans="1:7" ht="12.75" customHeight="1">
      <c r="A81" s="207" t="s">
        <v>28</v>
      </c>
      <c r="B81" s="183" t="s">
        <v>75</v>
      </c>
      <c r="C81" s="98" t="s">
        <v>156</v>
      </c>
      <c r="D81" s="187">
        <v>1466457.81</v>
      </c>
      <c r="E81" s="187">
        <v>845299.88</v>
      </c>
      <c r="F81" s="118">
        <f t="shared" si="2"/>
        <v>621157.93</v>
      </c>
      <c r="G81" s="208">
        <v>562125.18</v>
      </c>
    </row>
    <row r="82" spans="1:7" ht="12.75" customHeight="1">
      <c r="A82" s="207" t="s">
        <v>29</v>
      </c>
      <c r="B82" s="183"/>
      <c r="C82" s="98" t="s">
        <v>305</v>
      </c>
      <c r="D82" s="187">
        <v>158100</v>
      </c>
      <c r="E82" s="187">
        <v>450054.25</v>
      </c>
      <c r="F82" s="118">
        <f t="shared" si="2"/>
        <v>-291954.25</v>
      </c>
      <c r="G82" s="208">
        <v>745176.1</v>
      </c>
    </row>
    <row r="83" spans="1:7" ht="12.75" customHeight="1">
      <c r="A83" s="207" t="s">
        <v>30</v>
      </c>
      <c r="B83" s="183" t="s">
        <v>75</v>
      </c>
      <c r="C83" s="98" t="s">
        <v>292</v>
      </c>
      <c r="D83" s="187">
        <v>992512.6</v>
      </c>
      <c r="E83" s="187">
        <v>1050191.11</v>
      </c>
      <c r="F83" s="118">
        <f t="shared" si="2"/>
        <v>-57678.510000000126</v>
      </c>
      <c r="G83" s="208">
        <v>1860916.12</v>
      </c>
    </row>
    <row r="84" spans="1:7" ht="12.75" customHeight="1">
      <c r="A84" s="207" t="s">
        <v>31</v>
      </c>
      <c r="B84" s="183" t="s">
        <v>75</v>
      </c>
      <c r="C84" s="98" t="s">
        <v>157</v>
      </c>
      <c r="D84" s="187">
        <v>251134345.09</v>
      </c>
      <c r="E84" s="187">
        <v>250333639.16</v>
      </c>
      <c r="F84" s="118">
        <f t="shared" si="2"/>
        <v>800705.9300000072</v>
      </c>
      <c r="G84" s="208">
        <v>139770000</v>
      </c>
    </row>
    <row r="85" spans="1:7" ht="12.75" customHeight="1">
      <c r="A85" s="207" t="s">
        <v>32</v>
      </c>
      <c r="B85" s="183" t="s">
        <v>75</v>
      </c>
      <c r="C85" s="98" t="s">
        <v>282</v>
      </c>
      <c r="D85" s="187">
        <v>536793</v>
      </c>
      <c r="E85" s="187">
        <v>699094.62</v>
      </c>
      <c r="F85" s="118">
        <f t="shared" si="2"/>
        <v>-162301.62</v>
      </c>
      <c r="G85" s="208">
        <v>-212309.14</v>
      </c>
    </row>
    <row r="86" spans="1:7" ht="12.75">
      <c r="A86" s="207" t="s">
        <v>33</v>
      </c>
      <c r="B86" s="183" t="s">
        <v>75</v>
      </c>
      <c r="C86" s="98" t="s">
        <v>286</v>
      </c>
      <c r="D86" s="188">
        <v>1787922.84</v>
      </c>
      <c r="E86" s="188">
        <v>1360014.07</v>
      </c>
      <c r="F86" s="118">
        <f t="shared" si="2"/>
        <v>427908.77</v>
      </c>
      <c r="G86" s="208">
        <v>-391438.52</v>
      </c>
    </row>
    <row r="87" spans="1:7" ht="12.75">
      <c r="A87" s="207" t="s">
        <v>138</v>
      </c>
      <c r="B87" s="183" t="s">
        <v>75</v>
      </c>
      <c r="C87" s="98" t="s">
        <v>119</v>
      </c>
      <c r="D87" s="188">
        <v>67697495.76</v>
      </c>
      <c r="E87" s="188">
        <v>82774969.23</v>
      </c>
      <c r="F87" s="118">
        <f t="shared" si="2"/>
        <v>-15077473.469999999</v>
      </c>
      <c r="G87" s="208">
        <v>-29790250.67</v>
      </c>
    </row>
    <row r="88" spans="1:7" ht="12.75" customHeight="1">
      <c r="A88" s="207" t="s">
        <v>166</v>
      </c>
      <c r="B88" s="183" t="s">
        <v>75</v>
      </c>
      <c r="C88" s="98" t="s">
        <v>158</v>
      </c>
      <c r="D88" s="184">
        <v>473833.86</v>
      </c>
      <c r="E88" s="184">
        <v>3157093.16</v>
      </c>
      <c r="F88" s="118">
        <f t="shared" si="2"/>
        <v>-2683259.3000000003</v>
      </c>
      <c r="G88" s="208">
        <v>-11987001.89</v>
      </c>
    </row>
    <row r="89" spans="1:7" ht="12.75" customHeight="1">
      <c r="A89" s="207"/>
      <c r="B89" s="183"/>
      <c r="C89" s="98"/>
      <c r="D89" s="184"/>
      <c r="E89" s="184"/>
      <c r="F89" s="118">
        <f t="shared" si="2"/>
        <v>0</v>
      </c>
      <c r="G89" s="208"/>
    </row>
    <row r="90" spans="1:7" ht="17.25" customHeight="1" thickBot="1">
      <c r="A90" s="300" t="s">
        <v>21</v>
      </c>
      <c r="B90" s="300"/>
      <c r="C90" s="301"/>
      <c r="D90" s="199">
        <f>SUM(D69:D89)</f>
        <v>546424177.55</v>
      </c>
      <c r="E90" s="199">
        <f>SUM(E69:E89)</f>
        <v>615425068.93</v>
      </c>
      <c r="F90" s="202">
        <f>SUM(F69:F89)</f>
        <v>-69000891.37999998</v>
      </c>
      <c r="G90" s="254">
        <f>SUM(G69:G89)</f>
        <v>-15563562.499999989</v>
      </c>
    </row>
    <row r="91" spans="1:7" ht="17.25" customHeight="1">
      <c r="A91" s="189"/>
      <c r="B91" s="189"/>
      <c r="C91" s="189"/>
      <c r="D91" s="190"/>
      <c r="E91" s="190"/>
      <c r="F91" s="190"/>
      <c r="G91" s="190"/>
    </row>
    <row r="92" spans="1:7" ht="15.75" customHeight="1">
      <c r="A92" s="298" t="s">
        <v>253</v>
      </c>
      <c r="B92" s="299"/>
      <c r="C92" s="299"/>
      <c r="D92" s="299"/>
      <c r="E92" s="299"/>
      <c r="F92" s="299"/>
      <c r="G92" s="299"/>
    </row>
    <row r="93" spans="1:7" ht="14.25" customHeight="1">
      <c r="A93" s="299" t="s">
        <v>35</v>
      </c>
      <c r="B93" s="299"/>
      <c r="C93" s="299"/>
      <c r="D93" s="299"/>
      <c r="E93" s="299"/>
      <c r="F93" s="299"/>
      <c r="G93" s="299"/>
    </row>
    <row r="94" spans="1:7" ht="12.75" customHeight="1" thickBot="1">
      <c r="A94" s="191"/>
      <c r="B94" s="98"/>
      <c r="C94" s="98"/>
      <c r="D94" s="98"/>
      <c r="E94" s="98"/>
      <c r="F94" s="98"/>
      <c r="G94" s="98"/>
    </row>
    <row r="95" spans="1:7" ht="12" customHeight="1">
      <c r="A95" s="250"/>
      <c r="B95" s="182"/>
      <c r="C95" s="150"/>
      <c r="D95" s="180" t="s">
        <v>6</v>
      </c>
      <c r="E95" s="180" t="s">
        <v>78</v>
      </c>
      <c r="F95" s="180" t="s">
        <v>7</v>
      </c>
      <c r="G95" s="249" t="s">
        <v>76</v>
      </c>
    </row>
    <row r="96" spans="1:7" ht="12.75">
      <c r="A96" s="191"/>
      <c r="B96" s="98"/>
      <c r="C96" s="48" t="s">
        <v>198</v>
      </c>
      <c r="D96" s="181" t="s">
        <v>11</v>
      </c>
      <c r="E96" s="181" t="s">
        <v>11</v>
      </c>
      <c r="F96" s="181" t="s">
        <v>11</v>
      </c>
      <c r="G96" s="203" t="s">
        <v>77</v>
      </c>
    </row>
    <row r="97" spans="1:7" ht="11.25" customHeight="1">
      <c r="A97" s="204"/>
      <c r="B97" s="192"/>
      <c r="C97" s="47"/>
      <c r="D97" s="193" t="s">
        <v>13</v>
      </c>
      <c r="E97" s="193" t="s">
        <v>13</v>
      </c>
      <c r="F97" s="193" t="s">
        <v>13</v>
      </c>
      <c r="G97" s="205" t="s">
        <v>13</v>
      </c>
    </row>
    <row r="98" spans="1:7" ht="11.25" customHeight="1">
      <c r="A98" s="191"/>
      <c r="B98" s="98"/>
      <c r="C98" s="98"/>
      <c r="D98" s="201"/>
      <c r="E98" s="201"/>
      <c r="F98" s="118"/>
      <c r="G98" s="206"/>
    </row>
    <row r="99" spans="1:7" ht="11.25" customHeight="1">
      <c r="A99" s="207" t="s">
        <v>14</v>
      </c>
      <c r="B99" s="183" t="s">
        <v>75</v>
      </c>
      <c r="C99" s="98" t="s">
        <v>284</v>
      </c>
      <c r="D99" s="184">
        <v>1916397.09</v>
      </c>
      <c r="E99" s="184">
        <v>2171865.76</v>
      </c>
      <c r="F99" s="118">
        <f aca="true" t="shared" si="3" ref="F99:F124">D99-E99</f>
        <v>-255468.6699999997</v>
      </c>
      <c r="G99" s="145">
        <v>-1319626.8</v>
      </c>
    </row>
    <row r="100" spans="1:7" ht="12.75">
      <c r="A100" s="207" t="s">
        <v>15</v>
      </c>
      <c r="B100" s="183" t="s">
        <v>75</v>
      </c>
      <c r="C100" s="98" t="s">
        <v>260</v>
      </c>
      <c r="D100" s="184">
        <v>42525</v>
      </c>
      <c r="E100" s="184">
        <v>121080.44</v>
      </c>
      <c r="F100" s="118">
        <f t="shared" si="3"/>
        <v>-78555.44</v>
      </c>
      <c r="G100" s="119">
        <v>421444.66</v>
      </c>
    </row>
    <row r="101" spans="1:7" ht="12.75">
      <c r="A101" s="207" t="s">
        <v>16</v>
      </c>
      <c r="B101" s="183" t="s">
        <v>75</v>
      </c>
      <c r="C101" s="98" t="s">
        <v>285</v>
      </c>
      <c r="D101" s="184">
        <v>1700</v>
      </c>
      <c r="E101" s="184">
        <v>1064243.41</v>
      </c>
      <c r="F101" s="118">
        <f t="shared" si="3"/>
        <v>-1062543.41</v>
      </c>
      <c r="G101" s="119">
        <v>59649.13</v>
      </c>
    </row>
    <row r="102" spans="1:7" ht="12.75">
      <c r="A102" s="207" t="s">
        <v>17</v>
      </c>
      <c r="B102" s="183" t="s">
        <v>75</v>
      </c>
      <c r="C102" s="98" t="s">
        <v>159</v>
      </c>
      <c r="D102" s="184">
        <v>5210039.93</v>
      </c>
      <c r="E102" s="188">
        <v>5616979.1</v>
      </c>
      <c r="F102" s="118">
        <f t="shared" si="3"/>
        <v>-406939.1699999999</v>
      </c>
      <c r="G102" s="208">
        <v>841012.66</v>
      </c>
    </row>
    <row r="103" spans="1:7" ht="12.75">
      <c r="A103" s="207" t="s">
        <v>18</v>
      </c>
      <c r="B103" s="183" t="s">
        <v>75</v>
      </c>
      <c r="C103" s="98" t="s">
        <v>214</v>
      </c>
      <c r="D103" s="188">
        <v>579420.52</v>
      </c>
      <c r="E103" s="188">
        <v>1093981.45</v>
      </c>
      <c r="F103" s="118">
        <f t="shared" si="3"/>
        <v>-514560.92999999993</v>
      </c>
      <c r="G103" s="208">
        <v>-1218175.62</v>
      </c>
    </row>
    <row r="104" spans="1:7" ht="12.75">
      <c r="A104" s="207" t="s">
        <v>19</v>
      </c>
      <c r="B104" s="183" t="s">
        <v>75</v>
      </c>
      <c r="C104" s="98" t="s">
        <v>283</v>
      </c>
      <c r="D104" s="188">
        <v>11975656.93</v>
      </c>
      <c r="E104" s="188">
        <v>14994340.09</v>
      </c>
      <c r="F104" s="118">
        <f t="shared" si="3"/>
        <v>-3018683.16</v>
      </c>
      <c r="G104" s="208">
        <v>-652954.8</v>
      </c>
    </row>
    <row r="105" spans="1:7" ht="12.75">
      <c r="A105" s="207" t="s">
        <v>20</v>
      </c>
      <c r="B105" s="183" t="s">
        <v>75</v>
      </c>
      <c r="C105" s="98" t="s">
        <v>160</v>
      </c>
      <c r="D105" s="188">
        <v>459666</v>
      </c>
      <c r="E105" s="188">
        <v>416729.62</v>
      </c>
      <c r="F105" s="118">
        <f t="shared" si="3"/>
        <v>42936.380000000005</v>
      </c>
      <c r="G105" s="208">
        <v>224563.63</v>
      </c>
    </row>
    <row r="106" spans="1:7" ht="12.75">
      <c r="A106" s="207" t="s">
        <v>23</v>
      </c>
      <c r="B106" s="183" t="s">
        <v>75</v>
      </c>
      <c r="C106" s="98" t="s">
        <v>133</v>
      </c>
      <c r="D106" s="188">
        <v>12155042.47</v>
      </c>
      <c r="E106" s="188">
        <v>11830172.73</v>
      </c>
      <c r="F106" s="118">
        <f t="shared" si="3"/>
        <v>324869.7400000002</v>
      </c>
      <c r="G106" s="208">
        <v>-2806511.16</v>
      </c>
    </row>
    <row r="107" spans="1:7" ht="12.75">
      <c r="A107" s="207" t="s">
        <v>24</v>
      </c>
      <c r="B107" s="183" t="s">
        <v>75</v>
      </c>
      <c r="C107" s="98" t="s">
        <v>247</v>
      </c>
      <c r="D107" s="188">
        <v>3898230.64</v>
      </c>
      <c r="E107" s="188">
        <v>3475465.19</v>
      </c>
      <c r="F107" s="118">
        <f t="shared" si="3"/>
        <v>422765.4500000002</v>
      </c>
      <c r="G107" s="209">
        <v>-2643180.5</v>
      </c>
    </row>
    <row r="108" spans="1:7" ht="12.75">
      <c r="A108" s="207" t="s">
        <v>25</v>
      </c>
      <c r="B108" s="183" t="s">
        <v>75</v>
      </c>
      <c r="C108" s="98" t="s">
        <v>287</v>
      </c>
      <c r="D108" s="188">
        <v>44657342.4</v>
      </c>
      <c r="E108" s="188">
        <f>(45250160.94-70634.54)</f>
        <v>45179526.4</v>
      </c>
      <c r="F108" s="118">
        <f t="shared" si="3"/>
        <v>-522184</v>
      </c>
      <c r="G108" s="208">
        <v>971851.49</v>
      </c>
    </row>
    <row r="109" spans="1:7" ht="12.75">
      <c r="A109" s="207" t="s">
        <v>26</v>
      </c>
      <c r="B109" s="183" t="s">
        <v>75</v>
      </c>
      <c r="C109" s="98" t="s">
        <v>217</v>
      </c>
      <c r="D109" s="188">
        <v>11048243.67</v>
      </c>
      <c r="E109" s="188">
        <v>8450111.93</v>
      </c>
      <c r="F109" s="118">
        <f t="shared" si="3"/>
        <v>2598131.74</v>
      </c>
      <c r="G109" s="208">
        <v>4848433.94</v>
      </c>
    </row>
    <row r="110" spans="1:7" s="98" customFormat="1" ht="12.75">
      <c r="A110" s="207" t="s">
        <v>27</v>
      </c>
      <c r="B110" s="183" t="s">
        <v>75</v>
      </c>
      <c r="C110" s="98" t="s">
        <v>85</v>
      </c>
      <c r="D110" s="188">
        <v>7818896.46</v>
      </c>
      <c r="E110" s="188">
        <v>8438939.68</v>
      </c>
      <c r="F110" s="118">
        <f t="shared" si="3"/>
        <v>-620043.2199999997</v>
      </c>
      <c r="G110" s="119">
        <v>-358823</v>
      </c>
    </row>
    <row r="111" spans="1:7" s="98" customFormat="1" ht="12.75">
      <c r="A111" s="207" t="s">
        <v>28</v>
      </c>
      <c r="B111" s="183" t="s">
        <v>75</v>
      </c>
      <c r="C111" s="98" t="s">
        <v>83</v>
      </c>
      <c r="D111" s="188">
        <v>11476385.71</v>
      </c>
      <c r="E111" s="188">
        <v>32135997.95</v>
      </c>
      <c r="F111" s="118">
        <f t="shared" si="3"/>
        <v>-20659612.24</v>
      </c>
      <c r="G111" s="208">
        <v>-98917.21</v>
      </c>
    </row>
    <row r="112" spans="1:7" ht="12.75">
      <c r="A112" s="207" t="s">
        <v>29</v>
      </c>
      <c r="B112" s="183" t="s">
        <v>75</v>
      </c>
      <c r="C112" s="98" t="s">
        <v>87</v>
      </c>
      <c r="D112" s="188">
        <v>4884711.02</v>
      </c>
      <c r="E112" s="188">
        <v>18723623.56</v>
      </c>
      <c r="F112" s="118">
        <f t="shared" si="3"/>
        <v>-13838912.54</v>
      </c>
      <c r="G112" s="208">
        <v>35548037.19</v>
      </c>
    </row>
    <row r="113" spans="1:7" s="100" customFormat="1" ht="12.75">
      <c r="A113" s="207" t="s">
        <v>30</v>
      </c>
      <c r="B113" s="183" t="s">
        <v>75</v>
      </c>
      <c r="C113" s="98" t="s">
        <v>213</v>
      </c>
      <c r="D113" s="105">
        <v>9148397.66</v>
      </c>
      <c r="E113" s="103">
        <v>9489743.55</v>
      </c>
      <c r="F113" s="118">
        <f t="shared" si="3"/>
        <v>-341345.8900000006</v>
      </c>
      <c r="G113" s="210">
        <v>413201.13</v>
      </c>
    </row>
    <row r="114" spans="1:7" s="100" customFormat="1" ht="12.75">
      <c r="A114" s="207" t="s">
        <v>31</v>
      </c>
      <c r="B114" s="183" t="s">
        <v>75</v>
      </c>
      <c r="C114" s="98" t="s">
        <v>261</v>
      </c>
      <c r="D114" s="105">
        <v>3513533.83</v>
      </c>
      <c r="E114" s="103">
        <v>3114429.71</v>
      </c>
      <c r="F114" s="118">
        <f t="shared" si="3"/>
        <v>399104.1200000001</v>
      </c>
      <c r="G114" s="210">
        <v>3276962.25</v>
      </c>
    </row>
    <row r="115" spans="1:7" ht="12.75">
      <c r="A115" s="207" t="s">
        <v>32</v>
      </c>
      <c r="B115" s="183" t="s">
        <v>75</v>
      </c>
      <c r="C115" s="98" t="s">
        <v>134</v>
      </c>
      <c r="D115" s="188">
        <v>6913642.59</v>
      </c>
      <c r="E115" s="188">
        <v>14918402.77</v>
      </c>
      <c r="F115" s="118">
        <f t="shared" si="3"/>
        <v>-8004760.18</v>
      </c>
      <c r="G115" s="208">
        <v>-14923242.04</v>
      </c>
    </row>
    <row r="116" spans="1:7" ht="12.75">
      <c r="A116" s="207" t="s">
        <v>33</v>
      </c>
      <c r="B116" s="183" t="s">
        <v>75</v>
      </c>
      <c r="C116" s="183" t="s">
        <v>300</v>
      </c>
      <c r="D116" s="188">
        <v>10289707.5</v>
      </c>
      <c r="E116" s="188">
        <v>11630936.98</v>
      </c>
      <c r="F116" s="118">
        <f t="shared" si="3"/>
        <v>-1341229.4800000004</v>
      </c>
      <c r="G116" s="208">
        <v>805941.16</v>
      </c>
    </row>
    <row r="117" spans="1:7" ht="12.75">
      <c r="A117" s="207" t="s">
        <v>138</v>
      </c>
      <c r="B117" s="183" t="s">
        <v>75</v>
      </c>
      <c r="C117" s="98" t="s">
        <v>288</v>
      </c>
      <c r="D117" s="188">
        <v>1154469.82</v>
      </c>
      <c r="E117" s="188">
        <v>6928198</v>
      </c>
      <c r="F117" s="118">
        <f t="shared" si="3"/>
        <v>-5773728.18</v>
      </c>
      <c r="G117" s="208">
        <v>7091268</v>
      </c>
    </row>
    <row r="118" spans="1:7" ht="12.75">
      <c r="A118" s="207" t="s">
        <v>166</v>
      </c>
      <c r="B118" s="183" t="s">
        <v>75</v>
      </c>
      <c r="C118" s="98" t="s">
        <v>240</v>
      </c>
      <c r="D118" s="188">
        <v>16253321.02</v>
      </c>
      <c r="E118" s="188">
        <v>20428749.15</v>
      </c>
      <c r="F118" s="118">
        <f t="shared" si="3"/>
        <v>-4175428.129999999</v>
      </c>
      <c r="G118" s="208">
        <v>118654.9</v>
      </c>
    </row>
    <row r="119" spans="1:7" ht="12.75">
      <c r="A119" s="207" t="s">
        <v>167</v>
      </c>
      <c r="B119" s="183" t="s">
        <v>75</v>
      </c>
      <c r="C119" s="98" t="s">
        <v>220</v>
      </c>
      <c r="D119" s="188">
        <v>1821634.53</v>
      </c>
      <c r="E119" s="188">
        <v>9964927.97</v>
      </c>
      <c r="F119" s="118">
        <f t="shared" si="3"/>
        <v>-8143293.44</v>
      </c>
      <c r="G119" s="208">
        <v>30156813</v>
      </c>
    </row>
    <row r="120" spans="1:7" ht="12.75">
      <c r="A120" s="207" t="s">
        <v>168</v>
      </c>
      <c r="B120" s="183" t="s">
        <v>75</v>
      </c>
      <c r="C120" s="98" t="s">
        <v>291</v>
      </c>
      <c r="D120" s="188">
        <v>2472784.48</v>
      </c>
      <c r="E120" s="188">
        <v>2426213.19</v>
      </c>
      <c r="F120" s="118">
        <f t="shared" si="3"/>
        <v>46571.29000000004</v>
      </c>
      <c r="G120" s="208">
        <v>1269027.63</v>
      </c>
    </row>
    <row r="121" spans="1:7" ht="12.75">
      <c r="A121" s="207" t="s">
        <v>245</v>
      </c>
      <c r="B121" s="183" t="s">
        <v>75</v>
      </c>
      <c r="C121" s="98" t="s">
        <v>89</v>
      </c>
      <c r="D121" s="188">
        <v>10103924.4</v>
      </c>
      <c r="E121" s="188">
        <v>14446709.64</v>
      </c>
      <c r="F121" s="118">
        <f t="shared" si="3"/>
        <v>-4342785.24</v>
      </c>
      <c r="G121" s="208">
        <v>3214254.87</v>
      </c>
    </row>
    <row r="122" spans="1:7" ht="12.75">
      <c r="A122" s="207" t="s">
        <v>249</v>
      </c>
      <c r="B122" s="183" t="s">
        <v>75</v>
      </c>
      <c r="C122" s="98" t="s">
        <v>173</v>
      </c>
      <c r="D122" s="188">
        <v>350850.91</v>
      </c>
      <c r="E122" s="188">
        <v>2099413.37</v>
      </c>
      <c r="F122" s="118">
        <f t="shared" si="3"/>
        <v>-1748562.4600000002</v>
      </c>
      <c r="G122" s="208">
        <v>145861.58</v>
      </c>
    </row>
    <row r="123" spans="1:7" ht="12.75">
      <c r="A123" s="207" t="s">
        <v>281</v>
      </c>
      <c r="B123" s="183" t="s">
        <v>75</v>
      </c>
      <c r="C123" s="98" t="s">
        <v>218</v>
      </c>
      <c r="D123" s="188">
        <v>8395717.11</v>
      </c>
      <c r="E123" s="188">
        <v>889088.7</v>
      </c>
      <c r="F123" s="118">
        <f t="shared" si="3"/>
        <v>7506628.409999999</v>
      </c>
      <c r="G123" s="208">
        <v>8895725.72</v>
      </c>
    </row>
    <row r="124" spans="1:7" ht="12.75">
      <c r="A124" s="211"/>
      <c r="B124" s="183"/>
      <c r="C124" s="98"/>
      <c r="D124" s="188"/>
      <c r="E124" s="188"/>
      <c r="F124" s="118">
        <f t="shared" si="3"/>
        <v>0</v>
      </c>
      <c r="G124" s="208"/>
    </row>
    <row r="125" spans="1:7" ht="21" customHeight="1" thickBot="1">
      <c r="A125" s="300" t="s">
        <v>21</v>
      </c>
      <c r="B125" s="300"/>
      <c r="C125" s="301"/>
      <c r="D125" s="199">
        <f>SUM(D98:D124)</f>
        <v>186542241.69</v>
      </c>
      <c r="E125" s="199">
        <f>SUM(E98:E124)</f>
        <v>250049870.34000003</v>
      </c>
      <c r="F125" s="202">
        <f>SUM(F98:F124)</f>
        <v>-63507628.650000006</v>
      </c>
      <c r="G125" s="253">
        <f>SUM(G98:G124)</f>
        <v>74281271.81</v>
      </c>
    </row>
    <row r="126" spans="1:7" ht="12.75" customHeight="1">
      <c r="A126" s="189"/>
      <c r="B126" s="189"/>
      <c r="C126" s="189"/>
      <c r="D126" s="190"/>
      <c r="E126" s="190"/>
      <c r="F126" s="190"/>
      <c r="G126" s="190"/>
    </row>
    <row r="127" spans="1:7" ht="13.5" customHeight="1">
      <c r="A127" s="298" t="s">
        <v>253</v>
      </c>
      <c r="B127" s="299"/>
      <c r="C127" s="299"/>
      <c r="D127" s="299"/>
      <c r="E127" s="299"/>
      <c r="F127" s="299"/>
      <c r="G127" s="299"/>
    </row>
    <row r="128" spans="1:7" ht="14.25" customHeight="1">
      <c r="A128" s="299" t="s">
        <v>36</v>
      </c>
      <c r="B128" s="299"/>
      <c r="C128" s="299"/>
      <c r="D128" s="299"/>
      <c r="E128" s="299"/>
      <c r="F128" s="299"/>
      <c r="G128" s="299"/>
    </row>
    <row r="129" spans="1:7" ht="14.25" customHeight="1" thickBot="1">
      <c r="A129" s="207"/>
      <c r="B129" s="98"/>
      <c r="C129" s="98"/>
      <c r="D129" s="98"/>
      <c r="E129" s="98"/>
      <c r="F129" s="98"/>
      <c r="G129" s="98"/>
    </row>
    <row r="130" spans="1:7" s="46" customFormat="1" ht="12.75">
      <c r="A130" s="255"/>
      <c r="B130" s="150"/>
      <c r="C130" s="150"/>
      <c r="D130" s="180" t="s">
        <v>6</v>
      </c>
      <c r="E130" s="180" t="s">
        <v>78</v>
      </c>
      <c r="F130" s="180" t="s">
        <v>7</v>
      </c>
      <c r="G130" s="249" t="s">
        <v>76</v>
      </c>
    </row>
    <row r="131" spans="1:7" s="46" customFormat="1" ht="12.75">
      <c r="A131" s="256"/>
      <c r="B131" s="48"/>
      <c r="C131" s="48" t="s">
        <v>197</v>
      </c>
      <c r="D131" s="181" t="s">
        <v>11</v>
      </c>
      <c r="E131" s="181" t="s">
        <v>11</v>
      </c>
      <c r="F131" s="181" t="s">
        <v>11</v>
      </c>
      <c r="G131" s="203" t="s">
        <v>77</v>
      </c>
    </row>
    <row r="132" spans="1:7" s="46" customFormat="1" ht="12.75">
      <c r="A132" s="257"/>
      <c r="B132" s="47"/>
      <c r="C132" s="47"/>
      <c r="D132" s="193" t="s">
        <v>13</v>
      </c>
      <c r="E132" s="193" t="s">
        <v>13</v>
      </c>
      <c r="F132" s="193" t="s">
        <v>13</v>
      </c>
      <c r="G132" s="205" t="s">
        <v>13</v>
      </c>
    </row>
    <row r="133" spans="1:7" ht="12.75">
      <c r="A133" s="207"/>
      <c r="B133" s="98"/>
      <c r="C133" s="98"/>
      <c r="D133" s="201"/>
      <c r="E133" s="201"/>
      <c r="F133" s="201"/>
      <c r="G133" s="206"/>
    </row>
    <row r="134" spans="1:7" ht="12.75">
      <c r="A134" s="207" t="s">
        <v>14</v>
      </c>
      <c r="B134" s="183" t="s">
        <v>75</v>
      </c>
      <c r="C134" s="98" t="s">
        <v>120</v>
      </c>
      <c r="D134" s="184">
        <v>128190</v>
      </c>
      <c r="E134" s="184">
        <v>12454032.31</v>
      </c>
      <c r="F134" s="118">
        <f aca="true" t="shared" si="4" ref="F134:F156">D134-E134</f>
        <v>-12325842.31</v>
      </c>
      <c r="G134" s="119">
        <v>1698490.53</v>
      </c>
    </row>
    <row r="135" spans="1:7" ht="12.75">
      <c r="A135" s="207" t="s">
        <v>15</v>
      </c>
      <c r="B135" s="183" t="s">
        <v>75</v>
      </c>
      <c r="C135" s="98" t="s">
        <v>172</v>
      </c>
      <c r="D135" s="184">
        <v>120897</v>
      </c>
      <c r="E135" s="184">
        <v>392774.95</v>
      </c>
      <c r="F135" s="118">
        <f t="shared" si="4"/>
        <v>-271877.95</v>
      </c>
      <c r="G135" s="119">
        <v>446821.41</v>
      </c>
    </row>
    <row r="136" spans="1:7" ht="12.75">
      <c r="A136" s="207" t="s">
        <v>16</v>
      </c>
      <c r="B136" s="183" t="s">
        <v>75</v>
      </c>
      <c r="C136" s="98" t="s">
        <v>189</v>
      </c>
      <c r="D136" s="184">
        <v>411819.4</v>
      </c>
      <c r="E136" s="184">
        <v>347971.43</v>
      </c>
      <c r="F136" s="118">
        <f t="shared" si="4"/>
        <v>63847.97000000003</v>
      </c>
      <c r="G136" s="119">
        <v>677328.48</v>
      </c>
    </row>
    <row r="137" spans="1:7" ht="12.75">
      <c r="A137" s="207" t="s">
        <v>17</v>
      </c>
      <c r="B137" s="183" t="s">
        <v>75</v>
      </c>
      <c r="C137" s="98" t="s">
        <v>101</v>
      </c>
      <c r="D137" s="188">
        <v>2577720.7</v>
      </c>
      <c r="E137" s="188">
        <v>2875588.28</v>
      </c>
      <c r="F137" s="118">
        <f t="shared" si="4"/>
        <v>-297867.5799999996</v>
      </c>
      <c r="G137" s="208">
        <v>-1601011.81</v>
      </c>
    </row>
    <row r="138" spans="1:7" ht="12.75">
      <c r="A138" s="207" t="s">
        <v>18</v>
      </c>
      <c r="B138" s="183" t="s">
        <v>75</v>
      </c>
      <c r="C138" s="98" t="s">
        <v>228</v>
      </c>
      <c r="D138" s="188">
        <v>26600</v>
      </c>
      <c r="E138" s="188">
        <v>3412632.62</v>
      </c>
      <c r="F138" s="118">
        <f t="shared" si="4"/>
        <v>-3386032.62</v>
      </c>
      <c r="G138" s="208">
        <v>9149752.12</v>
      </c>
    </row>
    <row r="139" spans="1:7" ht="12.75">
      <c r="A139" s="207" t="s">
        <v>19</v>
      </c>
      <c r="B139" s="183" t="s">
        <v>75</v>
      </c>
      <c r="C139" s="98" t="s">
        <v>81</v>
      </c>
      <c r="D139" s="187">
        <v>2497560</v>
      </c>
      <c r="E139" s="187">
        <v>5747673.79</v>
      </c>
      <c r="F139" s="118">
        <f t="shared" si="4"/>
        <v>-3250113.79</v>
      </c>
      <c r="G139" s="208">
        <v>26288160.79</v>
      </c>
    </row>
    <row r="140" spans="1:7" ht="12.75">
      <c r="A140" s="207" t="s">
        <v>20</v>
      </c>
      <c r="B140" s="183" t="s">
        <v>75</v>
      </c>
      <c r="C140" s="98" t="s">
        <v>221</v>
      </c>
      <c r="D140" s="187">
        <v>2264899.17</v>
      </c>
      <c r="E140" s="187">
        <v>2323839.52</v>
      </c>
      <c r="F140" s="118">
        <f t="shared" si="4"/>
        <v>-58940.35000000009</v>
      </c>
      <c r="G140" s="208">
        <v>1518788.53</v>
      </c>
    </row>
    <row r="141" spans="1:7" ht="12.75">
      <c r="A141" s="207" t="s">
        <v>23</v>
      </c>
      <c r="B141" s="183" t="s">
        <v>75</v>
      </c>
      <c r="C141" s="98" t="s">
        <v>135</v>
      </c>
      <c r="D141" s="188">
        <v>117952.28</v>
      </c>
      <c r="E141" s="188">
        <v>91388.77</v>
      </c>
      <c r="F141" s="118">
        <f t="shared" si="4"/>
        <v>26563.509999999995</v>
      </c>
      <c r="G141" s="208">
        <v>11330930.83</v>
      </c>
    </row>
    <row r="142" spans="1:7" ht="12.75">
      <c r="A142" s="207" t="s">
        <v>24</v>
      </c>
      <c r="B142" s="183" t="s">
        <v>75</v>
      </c>
      <c r="C142" s="98" t="s">
        <v>225</v>
      </c>
      <c r="D142" s="188">
        <v>41562.33</v>
      </c>
      <c r="E142" s="188">
        <v>879312.88</v>
      </c>
      <c r="F142" s="118">
        <f t="shared" si="4"/>
        <v>-837750.55</v>
      </c>
      <c r="G142" s="208">
        <v>858037.7</v>
      </c>
    </row>
    <row r="143" spans="1:7" ht="12.75">
      <c r="A143" s="207" t="s">
        <v>25</v>
      </c>
      <c r="B143" s="183" t="s">
        <v>75</v>
      </c>
      <c r="C143" s="98" t="s">
        <v>242</v>
      </c>
      <c r="D143" s="188">
        <v>41562.33</v>
      </c>
      <c r="E143" s="98">
        <v>879912.88</v>
      </c>
      <c r="F143" s="118">
        <f t="shared" si="4"/>
        <v>-838350.55</v>
      </c>
      <c r="G143" s="208">
        <v>858037.7</v>
      </c>
    </row>
    <row r="144" spans="1:7" ht="12.75">
      <c r="A144" s="207" t="s">
        <v>26</v>
      </c>
      <c r="B144" s="183" t="s">
        <v>75</v>
      </c>
      <c r="C144" s="98" t="s">
        <v>230</v>
      </c>
      <c r="D144" s="188">
        <v>2226175.75</v>
      </c>
      <c r="E144" s="98">
        <v>1951279.62</v>
      </c>
      <c r="F144" s="118">
        <f t="shared" si="4"/>
        <v>274896.1299999999</v>
      </c>
      <c r="G144" s="208">
        <v>1967103.8</v>
      </c>
    </row>
    <row r="145" spans="1:7" ht="12.75">
      <c r="A145" s="207" t="s">
        <v>27</v>
      </c>
      <c r="B145" s="183" t="s">
        <v>75</v>
      </c>
      <c r="C145" s="98" t="s">
        <v>93</v>
      </c>
      <c r="D145" s="187">
        <v>1191288.72</v>
      </c>
      <c r="E145" s="187">
        <v>1091490.29</v>
      </c>
      <c r="F145" s="118">
        <f t="shared" si="4"/>
        <v>99798.42999999993</v>
      </c>
      <c r="G145" s="208">
        <v>55000</v>
      </c>
    </row>
    <row r="146" spans="1:7" ht="12.75">
      <c r="A146" s="207" t="s">
        <v>28</v>
      </c>
      <c r="B146" s="183" t="s">
        <v>75</v>
      </c>
      <c r="C146" s="98" t="s">
        <v>96</v>
      </c>
      <c r="D146" s="187">
        <v>959986.32</v>
      </c>
      <c r="E146" s="187">
        <v>1078604.33</v>
      </c>
      <c r="F146" s="118">
        <f t="shared" si="4"/>
        <v>-118618.01000000013</v>
      </c>
      <c r="G146" s="208">
        <v>2426436.28</v>
      </c>
    </row>
    <row r="147" spans="1:7" ht="12.75">
      <c r="A147" s="207" t="s">
        <v>29</v>
      </c>
      <c r="B147" s="183" t="s">
        <v>75</v>
      </c>
      <c r="C147" s="98" t="s">
        <v>263</v>
      </c>
      <c r="D147" s="187">
        <v>2134254.39</v>
      </c>
      <c r="E147" s="187">
        <v>2248951.58</v>
      </c>
      <c r="F147" s="118">
        <f t="shared" si="4"/>
        <v>-114697.18999999994</v>
      </c>
      <c r="G147" s="208">
        <v>3545535.16</v>
      </c>
    </row>
    <row r="148" spans="1:7" ht="12.75">
      <c r="A148" s="207" t="s">
        <v>30</v>
      </c>
      <c r="B148" s="183" t="s">
        <v>75</v>
      </c>
      <c r="C148" s="98" t="s">
        <v>99</v>
      </c>
      <c r="D148" s="187">
        <v>251677.7</v>
      </c>
      <c r="E148" s="188">
        <v>444610.99</v>
      </c>
      <c r="F148" s="118">
        <f t="shared" si="4"/>
        <v>-192933.28999999998</v>
      </c>
      <c r="G148" s="208">
        <v>-429591.41</v>
      </c>
    </row>
    <row r="149" spans="1:7" ht="12.75">
      <c r="A149" s="207" t="s">
        <v>31</v>
      </c>
      <c r="B149" s="183" t="s">
        <v>75</v>
      </c>
      <c r="C149" s="198" t="s">
        <v>231</v>
      </c>
      <c r="D149" s="212">
        <v>356569.3</v>
      </c>
      <c r="E149" s="188">
        <v>638432.47</v>
      </c>
      <c r="F149" s="118">
        <f t="shared" si="4"/>
        <v>-281863.17</v>
      </c>
      <c r="G149" s="208">
        <v>2852306.84</v>
      </c>
    </row>
    <row r="150" spans="1:7" ht="12.75">
      <c r="A150" s="207" t="s">
        <v>32</v>
      </c>
      <c r="B150" s="183" t="s">
        <v>75</v>
      </c>
      <c r="C150" s="198" t="s">
        <v>161</v>
      </c>
      <c r="D150" s="212">
        <v>2848638.78</v>
      </c>
      <c r="E150" s="188">
        <v>2047591.42</v>
      </c>
      <c r="F150" s="118">
        <f t="shared" si="4"/>
        <v>801047.3599999999</v>
      </c>
      <c r="G150" s="208">
        <v>9599240.11</v>
      </c>
    </row>
    <row r="151" spans="1:7" ht="12.75">
      <c r="A151" s="207" t="s">
        <v>33</v>
      </c>
      <c r="B151" s="183" t="s">
        <v>75</v>
      </c>
      <c r="C151" s="98" t="s">
        <v>293</v>
      </c>
      <c r="D151" s="187">
        <v>76762.04</v>
      </c>
      <c r="E151" s="187">
        <f>(148481.65+53555.36)</f>
        <v>202037.01</v>
      </c>
      <c r="F151" s="118">
        <f t="shared" si="4"/>
        <v>-125274.97000000002</v>
      </c>
      <c r="G151" s="208">
        <v>-384949.03</v>
      </c>
    </row>
    <row r="152" spans="1:7" ht="12.75">
      <c r="A152" s="207" t="s">
        <v>138</v>
      </c>
      <c r="B152" s="183" t="s">
        <v>75</v>
      </c>
      <c r="C152" s="98" t="s">
        <v>265</v>
      </c>
      <c r="D152" s="187">
        <v>614965</v>
      </c>
      <c r="E152" s="187">
        <v>556399.72</v>
      </c>
      <c r="F152" s="118">
        <f t="shared" si="4"/>
        <v>58565.28000000003</v>
      </c>
      <c r="G152" s="208">
        <v>241086.69</v>
      </c>
    </row>
    <row r="153" spans="1:7" ht="12.75">
      <c r="A153" s="207" t="s">
        <v>166</v>
      </c>
      <c r="B153" s="183" t="s">
        <v>75</v>
      </c>
      <c r="C153" s="98" t="s">
        <v>137</v>
      </c>
      <c r="D153" s="188">
        <v>4156922.51</v>
      </c>
      <c r="E153" s="188">
        <v>3130443.2</v>
      </c>
      <c r="F153" s="118">
        <f t="shared" si="4"/>
        <v>1026479.3099999996</v>
      </c>
      <c r="G153" s="208">
        <v>-2504615.31</v>
      </c>
    </row>
    <row r="154" spans="1:7" ht="12.75">
      <c r="A154" s="207" t="s">
        <v>167</v>
      </c>
      <c r="B154" s="183" t="s">
        <v>75</v>
      </c>
      <c r="C154" s="98" t="s">
        <v>102</v>
      </c>
      <c r="D154" s="187">
        <v>13809387.38</v>
      </c>
      <c r="E154" s="187">
        <v>13052814.54</v>
      </c>
      <c r="F154" s="118">
        <f t="shared" si="4"/>
        <v>756572.8400000017</v>
      </c>
      <c r="G154" s="208">
        <v>2056862.27</v>
      </c>
    </row>
    <row r="155" spans="1:7" ht="12.75">
      <c r="A155" s="207" t="s">
        <v>168</v>
      </c>
      <c r="B155" s="183" t="s">
        <v>75</v>
      </c>
      <c r="C155" s="98" t="s">
        <v>224</v>
      </c>
      <c r="D155" s="187">
        <v>855175</v>
      </c>
      <c r="E155" s="187">
        <v>2265652.26</v>
      </c>
      <c r="F155" s="118">
        <f t="shared" si="4"/>
        <v>-1410477.2599999998</v>
      </c>
      <c r="G155" s="208">
        <v>6395677.14</v>
      </c>
    </row>
    <row r="156" spans="1:7" ht="12.75">
      <c r="A156" s="207"/>
      <c r="B156" s="183"/>
      <c r="C156" s="98"/>
      <c r="D156" s="187"/>
      <c r="E156" s="187"/>
      <c r="F156" s="118">
        <f t="shared" si="4"/>
        <v>0</v>
      </c>
      <c r="G156" s="208"/>
    </row>
    <row r="157" spans="1:7" ht="19.5" customHeight="1" thickBot="1">
      <c r="A157" s="300" t="s">
        <v>21</v>
      </c>
      <c r="B157" s="300"/>
      <c r="C157" s="301"/>
      <c r="D157" s="199">
        <f>SUM(D134:D156)</f>
        <v>37710566.1</v>
      </c>
      <c r="E157" s="199">
        <f>SUM(E134:E156)</f>
        <v>58113434.85999999</v>
      </c>
      <c r="F157" s="202">
        <f>SUM(F134:F156)</f>
        <v>-20402868.759999998</v>
      </c>
      <c r="G157" s="253">
        <f>SUM(G134:G156)</f>
        <v>77045428.82</v>
      </c>
    </row>
    <row r="158" spans="1:7" ht="14.25" customHeight="1">
      <c r="A158" s="189"/>
      <c r="B158" s="189"/>
      <c r="C158" s="189"/>
      <c r="D158" s="190"/>
      <c r="E158" s="190"/>
      <c r="F158" s="190"/>
      <c r="G158" s="190"/>
    </row>
    <row r="159" spans="1:7" s="98" customFormat="1" ht="15" customHeight="1">
      <c r="A159" s="298" t="s">
        <v>253</v>
      </c>
      <c r="B159" s="299"/>
      <c r="C159" s="299"/>
      <c r="D159" s="299"/>
      <c r="E159" s="299"/>
      <c r="F159" s="299"/>
      <c r="G159" s="299"/>
    </row>
    <row r="160" spans="1:7" ht="12.75">
      <c r="A160" s="299" t="s">
        <v>37</v>
      </c>
      <c r="B160" s="299"/>
      <c r="C160" s="299"/>
      <c r="D160" s="299"/>
      <c r="E160" s="299"/>
      <c r="F160" s="299"/>
      <c r="G160" s="299"/>
    </row>
    <row r="161" spans="1:7" ht="13.5" thickBot="1">
      <c r="A161" s="248"/>
      <c r="B161" s="248"/>
      <c r="C161" s="248"/>
      <c r="D161" s="248"/>
      <c r="E161" s="248"/>
      <c r="F161" s="248"/>
      <c r="G161" s="248"/>
    </row>
    <row r="162" spans="1:7" s="46" customFormat="1" ht="12.75">
      <c r="A162" s="334"/>
      <c r="B162" s="150"/>
      <c r="C162" s="150"/>
      <c r="D162" s="180" t="s">
        <v>6</v>
      </c>
      <c r="E162" s="180" t="s">
        <v>78</v>
      </c>
      <c r="F162" s="180" t="s">
        <v>7</v>
      </c>
      <c r="G162" s="249" t="s">
        <v>76</v>
      </c>
    </row>
    <row r="163" spans="1:7" s="46" customFormat="1" ht="12.75">
      <c r="A163" s="213" t="s">
        <v>196</v>
      </c>
      <c r="B163" s="48"/>
      <c r="C163" s="48" t="s">
        <v>197</v>
      </c>
      <c r="D163" s="181" t="s">
        <v>11</v>
      </c>
      <c r="E163" s="181" t="s">
        <v>11</v>
      </c>
      <c r="F163" s="181" t="s">
        <v>11</v>
      </c>
      <c r="G163" s="203" t="s">
        <v>77</v>
      </c>
    </row>
    <row r="164" spans="1:7" s="46" customFormat="1" ht="12.75">
      <c r="A164" s="214"/>
      <c r="B164" s="47"/>
      <c r="C164" s="47"/>
      <c r="D164" s="193" t="s">
        <v>13</v>
      </c>
      <c r="E164" s="193" t="s">
        <v>13</v>
      </c>
      <c r="F164" s="193" t="s">
        <v>13</v>
      </c>
      <c r="G164" s="205" t="s">
        <v>13</v>
      </c>
    </row>
    <row r="165" spans="1:7" ht="12.75">
      <c r="A165" s="191"/>
      <c r="B165" s="98"/>
      <c r="C165" s="98"/>
      <c r="D165" s="201"/>
      <c r="E165" s="201"/>
      <c r="F165" s="118">
        <f aca="true" t="shared" si="5" ref="F165:F182">D165-E165</f>
        <v>0</v>
      </c>
      <c r="G165" s="206"/>
    </row>
    <row r="166" spans="1:7" ht="12.75">
      <c r="A166" s="207" t="s">
        <v>14</v>
      </c>
      <c r="B166" s="183" t="s">
        <v>75</v>
      </c>
      <c r="C166" s="98" t="s">
        <v>103</v>
      </c>
      <c r="D166" s="188">
        <v>10031780</v>
      </c>
      <c r="E166" s="188">
        <v>6728986</v>
      </c>
      <c r="F166" s="118">
        <f t="shared" si="5"/>
        <v>3302794</v>
      </c>
      <c r="G166" s="208">
        <v>4984030.4</v>
      </c>
    </row>
    <row r="167" spans="1:7" ht="12.75">
      <c r="A167" s="207" t="s">
        <v>15</v>
      </c>
      <c r="B167" s="183" t="s">
        <v>75</v>
      </c>
      <c r="C167" s="98" t="s">
        <v>233</v>
      </c>
      <c r="D167" s="187">
        <v>6953983.87</v>
      </c>
      <c r="E167" s="187">
        <v>6749950.91</v>
      </c>
      <c r="F167" s="118">
        <f t="shared" si="5"/>
        <v>204032.95999999996</v>
      </c>
      <c r="G167" s="119">
        <v>1144725.85</v>
      </c>
    </row>
    <row r="168" spans="1:7" ht="12.75">
      <c r="A168" s="207" t="s">
        <v>16</v>
      </c>
      <c r="B168" s="183" t="s">
        <v>75</v>
      </c>
      <c r="C168" s="98" t="s">
        <v>163</v>
      </c>
      <c r="D168" s="188">
        <v>316979.57</v>
      </c>
      <c r="E168" s="188">
        <v>310780.63</v>
      </c>
      <c r="F168" s="118">
        <f t="shared" si="5"/>
        <v>6198.940000000002</v>
      </c>
      <c r="G168" s="208">
        <v>630718.52</v>
      </c>
    </row>
    <row r="169" spans="1:7" ht="12.75">
      <c r="A169" s="207" t="s">
        <v>17</v>
      </c>
      <c r="B169" s="183" t="s">
        <v>75</v>
      </c>
      <c r="C169" s="98" t="s">
        <v>94</v>
      </c>
      <c r="D169" s="187">
        <v>1072538.88</v>
      </c>
      <c r="E169" s="98">
        <v>761177.16</v>
      </c>
      <c r="F169" s="118">
        <f t="shared" si="5"/>
        <v>311361.71999999986</v>
      </c>
      <c r="G169" s="208">
        <v>4832837.35</v>
      </c>
    </row>
    <row r="170" spans="1:7" ht="12.75">
      <c r="A170" s="207" t="s">
        <v>18</v>
      </c>
      <c r="B170" s="183" t="s">
        <v>75</v>
      </c>
      <c r="C170" s="98" t="s">
        <v>237</v>
      </c>
      <c r="D170" s="188">
        <v>361120.2</v>
      </c>
      <c r="E170" s="188">
        <v>352236.44</v>
      </c>
      <c r="F170" s="118">
        <f t="shared" si="5"/>
        <v>8883.76000000001</v>
      </c>
      <c r="G170" s="208">
        <v>300581.12</v>
      </c>
    </row>
    <row r="171" spans="1:7" ht="12.75">
      <c r="A171" s="207" t="s">
        <v>19</v>
      </c>
      <c r="B171" s="183" t="s">
        <v>75</v>
      </c>
      <c r="C171" s="98" t="s">
        <v>104</v>
      </c>
      <c r="D171" s="188">
        <v>3627469.35</v>
      </c>
      <c r="E171" s="188">
        <v>3777265.06</v>
      </c>
      <c r="F171" s="118">
        <f t="shared" si="5"/>
        <v>-149795.70999999996</v>
      </c>
      <c r="G171" s="208">
        <v>3699886.22</v>
      </c>
    </row>
    <row r="172" spans="1:7" ht="12.75">
      <c r="A172" s="207" t="s">
        <v>20</v>
      </c>
      <c r="B172" s="183" t="s">
        <v>75</v>
      </c>
      <c r="C172" s="98" t="s">
        <v>165</v>
      </c>
      <c r="D172" s="187">
        <v>2385427.36</v>
      </c>
      <c r="E172" s="187">
        <v>5234330.31</v>
      </c>
      <c r="F172" s="118">
        <f t="shared" si="5"/>
        <v>-2848902.9499999997</v>
      </c>
      <c r="G172" s="208">
        <v>2555867.93</v>
      </c>
    </row>
    <row r="173" spans="1:7" ht="12.75">
      <c r="A173" s="207" t="s">
        <v>23</v>
      </c>
      <c r="B173" s="183" t="s">
        <v>75</v>
      </c>
      <c r="C173" s="98" t="s">
        <v>140</v>
      </c>
      <c r="D173" s="188">
        <v>1968755</v>
      </c>
      <c r="E173" s="188">
        <v>686983.7</v>
      </c>
      <c r="F173" s="118">
        <f t="shared" si="5"/>
        <v>1281771.3</v>
      </c>
      <c r="G173" s="208">
        <v>5386833.98</v>
      </c>
    </row>
    <row r="174" spans="1:7" ht="12.75">
      <c r="A174" s="207" t="s">
        <v>24</v>
      </c>
      <c r="B174" s="183" t="s">
        <v>75</v>
      </c>
      <c r="C174" s="98" t="s">
        <v>185</v>
      </c>
      <c r="D174" s="188">
        <f>(208241+487054.8)</f>
        <v>695295.8</v>
      </c>
      <c r="E174" s="188">
        <f>(181159.56+453718.31+25935.25+30659.92)</f>
        <v>691473.04</v>
      </c>
      <c r="F174" s="118">
        <f t="shared" si="5"/>
        <v>3822.7600000000093</v>
      </c>
      <c r="G174" s="208">
        <v>443411.29</v>
      </c>
    </row>
    <row r="175" spans="1:7" ht="12.75">
      <c r="A175" s="207" t="s">
        <v>25</v>
      </c>
      <c r="B175" s="183" t="s">
        <v>75</v>
      </c>
      <c r="C175" s="183" t="s">
        <v>170</v>
      </c>
      <c r="D175" s="188">
        <f>(941456.62+153304.84+100132.08)</f>
        <v>1194893.54</v>
      </c>
      <c r="E175" s="188">
        <f>(592381.53+247345.78+96462.17+63004.92+40277.27+126307.37)</f>
        <v>1165779.04</v>
      </c>
      <c r="F175" s="118">
        <f t="shared" si="5"/>
        <v>29114.5</v>
      </c>
      <c r="G175" s="208">
        <v>352983.28</v>
      </c>
    </row>
    <row r="176" spans="1:7" ht="12.75">
      <c r="A176" s="207" t="s">
        <v>26</v>
      </c>
      <c r="B176" s="183" t="s">
        <v>75</v>
      </c>
      <c r="C176" s="183" t="s">
        <v>186</v>
      </c>
      <c r="D176" s="188">
        <v>689911.7</v>
      </c>
      <c r="E176" s="188">
        <v>471848.64</v>
      </c>
      <c r="F176" s="118">
        <f t="shared" si="5"/>
        <v>218063.05999999994</v>
      </c>
      <c r="G176" s="208">
        <v>295947.82</v>
      </c>
    </row>
    <row r="177" spans="1:7" ht="12.75">
      <c r="A177" s="207" t="s">
        <v>27</v>
      </c>
      <c r="B177" s="183"/>
      <c r="C177" s="183" t="s">
        <v>298</v>
      </c>
      <c r="D177" s="188">
        <v>61505</v>
      </c>
      <c r="E177" s="188">
        <v>126406.86</v>
      </c>
      <c r="F177" s="118">
        <f t="shared" si="5"/>
        <v>-64901.86</v>
      </c>
      <c r="G177" s="208">
        <v>310098.14</v>
      </c>
    </row>
    <row r="178" spans="1:7" ht="12.75">
      <c r="A178" s="207" t="s">
        <v>28</v>
      </c>
      <c r="B178" s="183" t="s">
        <v>75</v>
      </c>
      <c r="C178" s="183" t="s">
        <v>264</v>
      </c>
      <c r="D178" s="188">
        <v>659052.08</v>
      </c>
      <c r="E178" s="188">
        <v>485559.2</v>
      </c>
      <c r="F178" s="118">
        <f t="shared" si="5"/>
        <v>173492.87999999995</v>
      </c>
      <c r="G178" s="208">
        <v>167573.11</v>
      </c>
    </row>
    <row r="179" spans="1:7" ht="12.75">
      <c r="A179" s="207" t="s">
        <v>29</v>
      </c>
      <c r="B179" s="183" t="s">
        <v>75</v>
      </c>
      <c r="C179" s="183" t="s">
        <v>164</v>
      </c>
      <c r="D179" s="188">
        <v>21631106.55</v>
      </c>
      <c r="E179" s="188">
        <v>20726195.3</v>
      </c>
      <c r="F179" s="118">
        <f t="shared" si="5"/>
        <v>904911.25</v>
      </c>
      <c r="G179" s="208">
        <v>5728077.66</v>
      </c>
    </row>
    <row r="180" spans="1:7" ht="12.75">
      <c r="A180" s="207" t="s">
        <v>30</v>
      </c>
      <c r="B180" s="183" t="s">
        <v>75</v>
      </c>
      <c r="C180" s="98" t="s">
        <v>124</v>
      </c>
      <c r="D180" s="188">
        <v>659057.03</v>
      </c>
      <c r="E180" s="188">
        <v>672399.89</v>
      </c>
      <c r="F180" s="118">
        <f t="shared" si="5"/>
        <v>-13342.859999999986</v>
      </c>
      <c r="G180" s="208">
        <v>538123.4</v>
      </c>
    </row>
    <row r="181" spans="1:7" ht="12.75">
      <c r="A181" s="207" t="s">
        <v>31</v>
      </c>
      <c r="B181" s="183" t="s">
        <v>75</v>
      </c>
      <c r="C181" s="98" t="s">
        <v>235</v>
      </c>
      <c r="D181" s="188">
        <v>31371550.4</v>
      </c>
      <c r="E181" s="188">
        <v>21476915.04</v>
      </c>
      <c r="F181" s="118">
        <f t="shared" si="5"/>
        <v>9894635.36</v>
      </c>
      <c r="G181" s="208">
        <v>350000</v>
      </c>
    </row>
    <row r="182" spans="1:7" ht="12.75">
      <c r="A182" s="207"/>
      <c r="B182" s="183"/>
      <c r="C182" s="98"/>
      <c r="D182" s="188"/>
      <c r="E182" s="188"/>
      <c r="F182" s="118">
        <f t="shared" si="5"/>
        <v>0</v>
      </c>
      <c r="G182" s="208"/>
    </row>
    <row r="183" spans="1:7" ht="16.5" customHeight="1" thickBot="1">
      <c r="A183" s="300" t="s">
        <v>21</v>
      </c>
      <c r="B183" s="300"/>
      <c r="C183" s="301"/>
      <c r="D183" s="199">
        <f>SUM(D166:D182)</f>
        <v>83680426.33</v>
      </c>
      <c r="E183" s="199">
        <f>SUM(E166:E182)</f>
        <v>70418287.22</v>
      </c>
      <c r="F183" s="199">
        <f>SUM(F166:F182)</f>
        <v>13262139.11</v>
      </c>
      <c r="G183" s="253">
        <f>SUM(G166:G182)</f>
        <v>31721696.07</v>
      </c>
    </row>
    <row r="184" spans="1:7" ht="15.75" customHeight="1">
      <c r="A184" s="189"/>
      <c r="B184" s="189"/>
      <c r="C184" s="189"/>
      <c r="D184" s="190"/>
      <c r="E184" s="190"/>
      <c r="F184" s="190"/>
      <c r="G184" s="190"/>
    </row>
    <row r="185" spans="1:7" ht="14.25" customHeight="1">
      <c r="A185" s="298" t="s">
        <v>253</v>
      </c>
      <c r="B185" s="299"/>
      <c r="C185" s="299"/>
      <c r="D185" s="299"/>
      <c r="E185" s="299"/>
      <c r="F185" s="299"/>
      <c r="G185" s="299"/>
    </row>
    <row r="186" spans="1:7" ht="12.75">
      <c r="A186" s="299" t="s">
        <v>4</v>
      </c>
      <c r="B186" s="299"/>
      <c r="C186" s="299"/>
      <c r="D186" s="299"/>
      <c r="E186" s="299"/>
      <c r="F186" s="299"/>
      <c r="G186" s="299"/>
    </row>
    <row r="187" spans="1:7" ht="13.5" customHeight="1" thickBot="1">
      <c r="A187" s="191"/>
      <c r="B187" s="98"/>
      <c r="C187" s="98"/>
      <c r="D187" s="98"/>
      <c r="E187" s="98"/>
      <c r="F187" s="98"/>
      <c r="G187" s="98"/>
    </row>
    <row r="188" spans="1:7" s="46" customFormat="1" ht="12.75">
      <c r="A188" s="334"/>
      <c r="B188" s="150"/>
      <c r="C188" s="150"/>
      <c r="D188" s="180" t="s">
        <v>6</v>
      </c>
      <c r="E188" s="180" t="s">
        <v>78</v>
      </c>
      <c r="F188" s="180" t="s">
        <v>7</v>
      </c>
      <c r="G188" s="249" t="s">
        <v>76</v>
      </c>
    </row>
    <row r="189" spans="1:7" s="46" customFormat="1" ht="12.75">
      <c r="A189" s="213"/>
      <c r="B189" s="48"/>
      <c r="C189" s="48" t="s">
        <v>195</v>
      </c>
      <c r="D189" s="181" t="s">
        <v>11</v>
      </c>
      <c r="E189" s="181" t="s">
        <v>11</v>
      </c>
      <c r="F189" s="181" t="s">
        <v>11</v>
      </c>
      <c r="G189" s="203" t="s">
        <v>77</v>
      </c>
    </row>
    <row r="190" spans="1:7" s="46" customFormat="1" ht="12.75">
      <c r="A190" s="214"/>
      <c r="B190" s="47"/>
      <c r="C190" s="47"/>
      <c r="D190" s="193" t="s">
        <v>13</v>
      </c>
      <c r="E190" s="193" t="s">
        <v>13</v>
      </c>
      <c r="F190" s="193" t="s">
        <v>13</v>
      </c>
      <c r="G190" s="205" t="s">
        <v>13</v>
      </c>
    </row>
    <row r="191" spans="1:7" ht="12.75">
      <c r="A191" s="191"/>
      <c r="B191" s="98"/>
      <c r="C191" s="98"/>
      <c r="D191" s="201"/>
      <c r="E191" s="201"/>
      <c r="F191" s="201"/>
      <c r="G191" s="206"/>
    </row>
    <row r="192" spans="1:7" ht="12.75">
      <c r="A192" s="207" t="s">
        <v>14</v>
      </c>
      <c r="B192" s="183" t="s">
        <v>75</v>
      </c>
      <c r="C192" s="98" t="s">
        <v>190</v>
      </c>
      <c r="D192" s="184">
        <v>10836807.98</v>
      </c>
      <c r="E192" s="184">
        <v>8980093.25</v>
      </c>
      <c r="F192" s="215">
        <f aca="true" t="shared" si="6" ref="F192:F204">D192-E192</f>
        <v>1856714.7300000004</v>
      </c>
      <c r="G192" s="119">
        <f>(1700000+3228093.99)</f>
        <v>4928093.99</v>
      </c>
    </row>
    <row r="193" spans="1:7" ht="12.75">
      <c r="A193" s="207" t="s">
        <v>15</v>
      </c>
      <c r="B193" s="183" t="s">
        <v>75</v>
      </c>
      <c r="C193" s="98" t="s">
        <v>191</v>
      </c>
      <c r="D193" s="184">
        <v>2687719.07</v>
      </c>
      <c r="E193" s="184">
        <v>4741275.16</v>
      </c>
      <c r="F193" s="215">
        <f t="shared" si="6"/>
        <v>-2053556.0900000003</v>
      </c>
      <c r="G193" s="119">
        <f>(700000+866841.72)</f>
        <v>1566841.72</v>
      </c>
    </row>
    <row r="194" spans="1:7" ht="12.75">
      <c r="A194" s="207" t="s">
        <v>16</v>
      </c>
      <c r="B194" s="183" t="s">
        <v>75</v>
      </c>
      <c r="C194" s="98" t="s">
        <v>294</v>
      </c>
      <c r="D194" s="184">
        <v>43750</v>
      </c>
      <c r="E194" s="184">
        <v>82935.23</v>
      </c>
      <c r="F194" s="215">
        <f t="shared" si="6"/>
        <v>-39185.229999999996</v>
      </c>
      <c r="G194" s="119">
        <v>1161085.07</v>
      </c>
    </row>
    <row r="195" spans="1:7" ht="12.75">
      <c r="A195" s="207" t="s">
        <v>17</v>
      </c>
      <c r="B195" s="183" t="s">
        <v>75</v>
      </c>
      <c r="C195" s="98" t="s">
        <v>192</v>
      </c>
      <c r="D195" s="187">
        <v>1302495</v>
      </c>
      <c r="E195" s="187">
        <v>4562003.28</v>
      </c>
      <c r="F195" s="215">
        <f t="shared" si="6"/>
        <v>-3259508.2800000003</v>
      </c>
      <c r="G195" s="208">
        <f>(500000+4777531.84)</f>
        <v>5277531.84</v>
      </c>
    </row>
    <row r="196" spans="1:7" ht="12.75">
      <c r="A196" s="207" t="s">
        <v>18</v>
      </c>
      <c r="B196" s="183" t="s">
        <v>75</v>
      </c>
      <c r="C196" s="98" t="s">
        <v>188</v>
      </c>
      <c r="D196" s="187">
        <v>8884593.3</v>
      </c>
      <c r="E196" s="187">
        <v>7763023.37</v>
      </c>
      <c r="F196" s="215">
        <f t="shared" si="6"/>
        <v>1121569.9300000006</v>
      </c>
      <c r="G196" s="208">
        <v>11479390.95</v>
      </c>
    </row>
    <row r="197" spans="1:7" ht="12.75">
      <c r="A197" s="207" t="s">
        <v>19</v>
      </c>
      <c r="B197" s="183" t="s">
        <v>75</v>
      </c>
      <c r="C197" s="98" t="s">
        <v>175</v>
      </c>
      <c r="D197" s="184">
        <v>1084600</v>
      </c>
      <c r="E197" s="101">
        <v>907662.46</v>
      </c>
      <c r="F197" s="215">
        <f t="shared" si="6"/>
        <v>176937.54000000004</v>
      </c>
      <c r="G197" s="208">
        <v>532964.48</v>
      </c>
    </row>
    <row r="198" spans="1:7" ht="12.75">
      <c r="A198" s="207" t="s">
        <v>20</v>
      </c>
      <c r="B198" s="183" t="s">
        <v>75</v>
      </c>
      <c r="C198" s="98" t="s">
        <v>295</v>
      </c>
      <c r="D198" s="184">
        <v>959960</v>
      </c>
      <c r="E198" s="101">
        <v>829331</v>
      </c>
      <c r="F198" s="215">
        <f t="shared" si="6"/>
        <v>130629</v>
      </c>
      <c r="G198" s="208">
        <v>-960845.57</v>
      </c>
    </row>
    <row r="199" spans="1:7" ht="12.75">
      <c r="A199" s="207" t="s">
        <v>23</v>
      </c>
      <c r="B199" s="183" t="s">
        <v>75</v>
      </c>
      <c r="C199" s="98" t="s">
        <v>296</v>
      </c>
      <c r="D199" s="184">
        <v>546097.34</v>
      </c>
      <c r="E199" s="101">
        <v>593335.97</v>
      </c>
      <c r="F199" s="215">
        <f t="shared" si="6"/>
        <v>-47238.630000000005</v>
      </c>
      <c r="G199" s="208">
        <v>73723.11</v>
      </c>
    </row>
    <row r="200" spans="1:7" ht="12.75">
      <c r="A200" s="207" t="s">
        <v>24</v>
      </c>
      <c r="B200" s="183" t="s">
        <v>75</v>
      </c>
      <c r="C200" s="98" t="s">
        <v>145</v>
      </c>
      <c r="D200" s="187">
        <v>3404209.16</v>
      </c>
      <c r="E200" s="184">
        <v>2583801.77</v>
      </c>
      <c r="F200" s="215">
        <f t="shared" si="6"/>
        <v>820407.3900000001</v>
      </c>
      <c r="G200" s="208">
        <v>1998260.7</v>
      </c>
    </row>
    <row r="201" spans="1:7" ht="12.75">
      <c r="A201" s="207" t="s">
        <v>25</v>
      </c>
      <c r="B201" s="183" t="s">
        <v>75</v>
      </c>
      <c r="C201" s="98" t="s">
        <v>142</v>
      </c>
      <c r="D201" s="187">
        <v>3271667.86</v>
      </c>
      <c r="E201" s="187">
        <v>3313014.51</v>
      </c>
      <c r="F201" s="215">
        <f t="shared" si="6"/>
        <v>-41346.64999999991</v>
      </c>
      <c r="G201" s="208">
        <v>2198675.04</v>
      </c>
    </row>
    <row r="202" spans="1:7" ht="12.75">
      <c r="A202" s="207" t="s">
        <v>26</v>
      </c>
      <c r="B202" s="183" t="s">
        <v>75</v>
      </c>
      <c r="C202" s="98" t="s">
        <v>144</v>
      </c>
      <c r="D202" s="188">
        <v>223750</v>
      </c>
      <c r="E202" s="187">
        <v>169752.06</v>
      </c>
      <c r="F202" s="215">
        <f t="shared" si="6"/>
        <v>53997.94</v>
      </c>
      <c r="G202" s="208">
        <v>187239.69</v>
      </c>
    </row>
    <row r="203" spans="1:7" ht="12.75">
      <c r="A203" s="207" t="s">
        <v>27</v>
      </c>
      <c r="B203" s="183" t="s">
        <v>75</v>
      </c>
      <c r="C203" s="98" t="s">
        <v>297</v>
      </c>
      <c r="D203" s="188">
        <v>1308425.05</v>
      </c>
      <c r="E203" s="187">
        <v>1169333.11</v>
      </c>
      <c r="F203" s="215">
        <f t="shared" si="6"/>
        <v>139091.93999999994</v>
      </c>
      <c r="G203" s="208">
        <f>(965102.66+320000)</f>
        <v>1285102.6600000001</v>
      </c>
    </row>
    <row r="204" spans="1:7" ht="14.25" customHeight="1">
      <c r="A204" s="211"/>
      <c r="B204" s="183"/>
      <c r="C204" s="98"/>
      <c r="D204" s="187"/>
      <c r="E204" s="187"/>
      <c r="F204" s="215">
        <f t="shared" si="6"/>
        <v>0</v>
      </c>
      <c r="G204" s="208"/>
    </row>
    <row r="205" spans="1:7" ht="20.25" customHeight="1" thickBot="1">
      <c r="A205" s="300" t="s">
        <v>21</v>
      </c>
      <c r="B205" s="300"/>
      <c r="C205" s="301"/>
      <c r="D205" s="199">
        <f>SUM(D192:D204)</f>
        <v>34554074.76</v>
      </c>
      <c r="E205" s="199">
        <f>SUM(E192:E204)</f>
        <v>35695561.17</v>
      </c>
      <c r="F205" s="202">
        <f>SUM(F192:F204)</f>
        <v>-1141486.4099999992</v>
      </c>
      <c r="G205" s="254">
        <f>SUM(G192:G204)</f>
        <v>29728063.68</v>
      </c>
    </row>
    <row r="206" spans="1:7" ht="21" customHeight="1">
      <c r="A206" s="191"/>
      <c r="B206" s="98"/>
      <c r="C206" s="98"/>
      <c r="D206" s="98"/>
      <c r="E206" s="98"/>
      <c r="F206" s="98"/>
      <c r="G206" s="98"/>
    </row>
    <row r="207" spans="1:7" s="100" customFormat="1" ht="12.75">
      <c r="A207" s="213" t="s">
        <v>303</v>
      </c>
      <c r="B207" s="98"/>
      <c r="C207" s="98"/>
      <c r="D207" s="98"/>
      <c r="E207" s="98"/>
      <c r="F207" s="98"/>
      <c r="G207" s="98"/>
    </row>
    <row r="208" spans="1:7" s="100" customFormat="1" ht="12.75">
      <c r="A208" s="191" t="s">
        <v>88</v>
      </c>
      <c r="B208" s="98"/>
      <c r="C208" s="98"/>
      <c r="D208" s="98"/>
      <c r="E208" s="98"/>
      <c r="F208" s="98"/>
      <c r="G208" s="98"/>
    </row>
  </sheetData>
  <sheetProtection/>
  <mergeCells count="22">
    <mergeCell ref="A205:C205"/>
    <mergeCell ref="A28:C28"/>
    <mergeCell ref="A60:C60"/>
    <mergeCell ref="A90:C90"/>
    <mergeCell ref="A125:C125"/>
    <mergeCell ref="A93:G93"/>
    <mergeCell ref="A185:G185"/>
    <mergeCell ref="A186:G186"/>
    <mergeCell ref="A31:G31"/>
    <mergeCell ref="A62:G62"/>
    <mergeCell ref="A63:G63"/>
    <mergeCell ref="A92:G92"/>
    <mergeCell ref="A4:C6"/>
    <mergeCell ref="A1:G1"/>
    <mergeCell ref="A2:G2"/>
    <mergeCell ref="A30:G30"/>
    <mergeCell ref="A183:C183"/>
    <mergeCell ref="A127:G127"/>
    <mergeCell ref="A128:G128"/>
    <mergeCell ref="A159:G159"/>
    <mergeCell ref="A160:G160"/>
    <mergeCell ref="A157:C157"/>
  </mergeCells>
  <printOptions horizontalCentered="1"/>
  <pageMargins left="0.5905511811023623" right="0.5905511811023623" top="0.5905511811023623" bottom="0.35433070866141736" header="0.2362204724409449" footer="0.11811023622047245"/>
  <pageSetup firstPageNumber="117" useFirstPageNumber="1" horizontalDpi="1200" verticalDpi="1200" orientation="portrait" paperSize="9" scale="75" r:id="rId1"/>
  <headerFooter alignWithMargins="0">
    <oddFooter xml:space="preserve">&amp;C&amp;8&amp;P </oddFooter>
  </headerFooter>
  <rowBreaks count="6" manualBreakCount="6">
    <brk id="29" max="255" man="1"/>
    <brk id="61" max="255" man="1"/>
    <brk id="91" max="255" man="1"/>
    <brk id="126" max="255" man="1"/>
    <brk id="158" max="255" man="1"/>
    <brk id="1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Zeros="0" view="pageBreakPreview" zoomScaleSheetLayoutView="100" zoomScalePageLayoutView="0" workbookViewId="0" topLeftCell="A1">
      <selection activeCell="H7" sqref="H7"/>
    </sheetView>
  </sheetViews>
  <sheetFormatPr defaultColWidth="11.421875" defaultRowHeight="12.75"/>
  <cols>
    <col min="1" max="1" width="3.00390625" style="99" customWidth="1"/>
    <col min="2" max="2" width="1.8515625" style="99" customWidth="1"/>
    <col min="3" max="3" width="40.28125" style="99" customWidth="1"/>
    <col min="4" max="4" width="14.140625" style="99" customWidth="1"/>
    <col min="5" max="5" width="16.8515625" style="99" customWidth="1"/>
    <col min="6" max="6" width="17.140625" style="99" customWidth="1"/>
    <col min="7" max="7" width="14.140625" style="99" customWidth="1"/>
    <col min="8" max="16384" width="11.421875" style="99" customWidth="1"/>
  </cols>
  <sheetData>
    <row r="1" spans="1:7" ht="12.75">
      <c r="A1" s="302" t="s">
        <v>107</v>
      </c>
      <c r="B1" s="302"/>
      <c r="C1" s="302"/>
      <c r="D1" s="302"/>
      <c r="E1" s="302"/>
      <c r="F1" s="302"/>
      <c r="G1" s="302"/>
    </row>
    <row r="2" spans="1:7" ht="20.25" customHeight="1">
      <c r="A2" s="303" t="s">
        <v>255</v>
      </c>
      <c r="B2" s="303"/>
      <c r="C2" s="303"/>
      <c r="D2" s="303"/>
      <c r="E2" s="303"/>
      <c r="F2" s="303"/>
      <c r="G2" s="303"/>
    </row>
    <row r="3" spans="1:7" ht="13.5" thickBot="1">
      <c r="A3" s="84"/>
      <c r="B3" s="84"/>
      <c r="C3" s="84"/>
      <c r="D3" s="84"/>
      <c r="E3" s="84"/>
      <c r="F3" s="84"/>
      <c r="G3" s="84"/>
    </row>
    <row r="4" spans="1:7" s="46" customFormat="1" ht="12.75">
      <c r="A4" s="165"/>
      <c r="B4" s="165"/>
      <c r="C4" s="165"/>
      <c r="D4" s="166" t="s">
        <v>6</v>
      </c>
      <c r="E4" s="166" t="s">
        <v>78</v>
      </c>
      <c r="F4" s="166" t="s">
        <v>7</v>
      </c>
      <c r="G4" s="271" t="s">
        <v>76</v>
      </c>
    </row>
    <row r="5" spans="1:7" s="46" customFormat="1" ht="12.75">
      <c r="A5" s="272" t="s">
        <v>194</v>
      </c>
      <c r="B5" s="167"/>
      <c r="C5" s="82"/>
      <c r="D5" s="83" t="s">
        <v>11</v>
      </c>
      <c r="E5" s="83" t="s">
        <v>11</v>
      </c>
      <c r="F5" s="83" t="s">
        <v>11</v>
      </c>
      <c r="G5" s="273" t="s">
        <v>77</v>
      </c>
    </row>
    <row r="6" spans="1:7" s="46" customFormat="1" ht="13.5" thickBot="1">
      <c r="A6" s="169"/>
      <c r="B6" s="169"/>
      <c r="C6" s="169"/>
      <c r="D6" s="170" t="s">
        <v>13</v>
      </c>
      <c r="E6" s="170" t="s">
        <v>13</v>
      </c>
      <c r="F6" s="170" t="s">
        <v>13</v>
      </c>
      <c r="G6" s="274" t="s">
        <v>13</v>
      </c>
    </row>
    <row r="7" spans="1:7" ht="12.75">
      <c r="A7" s="84"/>
      <c r="B7" s="84"/>
      <c r="C7" s="84"/>
      <c r="D7" s="85"/>
      <c r="E7" s="85"/>
      <c r="F7" s="85"/>
      <c r="G7" s="275"/>
    </row>
    <row r="8" spans="1:7" ht="12.75">
      <c r="A8" s="276" t="s">
        <v>14</v>
      </c>
      <c r="B8" s="106" t="s">
        <v>75</v>
      </c>
      <c r="C8" s="216" t="s">
        <v>302</v>
      </c>
      <c r="D8" s="217">
        <v>15565372.18</v>
      </c>
      <c r="E8" s="217">
        <v>13112825.01</v>
      </c>
      <c r="F8" s="118">
        <f>D8-E8</f>
        <v>2452547.17</v>
      </c>
      <c r="G8" s="277"/>
    </row>
    <row r="9" spans="1:7" ht="13.5" thickBot="1">
      <c r="A9" s="278"/>
      <c r="B9" s="168"/>
      <c r="C9" s="84"/>
      <c r="D9" s="86"/>
      <c r="E9" s="86"/>
      <c r="F9" s="113"/>
      <c r="G9" s="279"/>
    </row>
    <row r="10" spans="1:7" ht="27.75" customHeight="1" thickBot="1">
      <c r="A10" s="304" t="s">
        <v>21</v>
      </c>
      <c r="B10" s="304"/>
      <c r="C10" s="305"/>
      <c r="D10" s="171">
        <f>SUM(D8:D8)</f>
        <v>15565372.18</v>
      </c>
      <c r="E10" s="171">
        <f>SUM(E8:E8)</f>
        <v>13112825.01</v>
      </c>
      <c r="F10" s="171">
        <f>SUM(F8:F8)</f>
        <v>2452547.17</v>
      </c>
      <c r="G10" s="280">
        <f>SUM(G8:G8)</f>
        <v>0</v>
      </c>
    </row>
    <row r="11" spans="1:7" ht="12.75">
      <c r="A11" s="84"/>
      <c r="B11" s="84"/>
      <c r="C11" s="84"/>
      <c r="D11" s="84"/>
      <c r="E11" s="84"/>
      <c r="F11" s="84"/>
      <c r="G11" s="84"/>
    </row>
    <row r="12" spans="1:7" ht="12.75">
      <c r="A12" s="84"/>
      <c r="B12" s="84"/>
      <c r="C12" s="84"/>
      <c r="D12" s="84"/>
      <c r="E12" s="84"/>
      <c r="F12" s="84"/>
      <c r="G12" s="84"/>
    </row>
    <row r="13" spans="1:7" s="100" customFormat="1" ht="12.75">
      <c r="A13" s="281" t="s">
        <v>132</v>
      </c>
      <c r="B13" s="84"/>
      <c r="C13" s="84"/>
      <c r="D13" s="84"/>
      <c r="E13" s="84"/>
      <c r="F13" s="84"/>
      <c r="G13" s="84"/>
    </row>
    <row r="14" spans="1:7" s="100" customFormat="1" ht="12.75">
      <c r="A14" s="282" t="s">
        <v>88</v>
      </c>
      <c r="B14" s="84"/>
      <c r="C14" s="84"/>
      <c r="D14" s="84"/>
      <c r="E14" s="84"/>
      <c r="F14" s="84"/>
      <c r="G14" s="84"/>
    </row>
    <row r="15" spans="1:7" ht="12.75">
      <c r="A15" s="79"/>
      <c r="B15" s="79"/>
      <c r="C15" s="79"/>
      <c r="D15" s="79"/>
      <c r="E15" s="79"/>
      <c r="F15" s="79"/>
      <c r="G15" s="79"/>
    </row>
  </sheetData>
  <sheetProtection/>
  <mergeCells count="3">
    <mergeCell ref="A1:G1"/>
    <mergeCell ref="A2:G2"/>
    <mergeCell ref="A10:C10"/>
  </mergeCells>
  <printOptions horizontalCentered="1"/>
  <pageMargins left="0.5905511811023623" right="0.5905511811023623" top="0.7874015748031497" bottom="0.3937007874015748" header="0.2362204724409449" footer="0.11811023622047245"/>
  <pageSetup firstPageNumber="124" useFirstPageNumber="1" horizontalDpi="1200" verticalDpi="1200" orientation="portrait" paperSize="9" scale="80" r:id="rId1"/>
  <headerFooter alignWithMargins="0">
    <oddFooter xml:space="preserve">&amp;C&amp;8&amp;P&amp;10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115" zoomScaleSheetLayoutView="115" zoomScalePageLayoutView="0" workbookViewId="0" topLeftCell="A1">
      <selection activeCell="A1" sqref="A1:E18"/>
    </sheetView>
  </sheetViews>
  <sheetFormatPr defaultColWidth="11.57421875" defaultRowHeight="12.75"/>
  <cols>
    <col min="1" max="1" width="11.57421875" style="100" customWidth="1"/>
    <col min="2" max="2" width="11.7109375" style="100" customWidth="1"/>
    <col min="3" max="3" width="15.140625" style="100" bestFit="1" customWidth="1"/>
    <col min="4" max="5" width="15.7109375" style="100" customWidth="1"/>
    <col min="6" max="16384" width="11.57421875" style="100" customWidth="1"/>
  </cols>
  <sheetData>
    <row r="1" spans="1:5" ht="12.75">
      <c r="A1" s="258" t="s">
        <v>256</v>
      </c>
      <c r="B1" s="106"/>
      <c r="C1" s="259"/>
      <c r="D1" s="259"/>
      <c r="E1" s="259"/>
    </row>
    <row r="2" spans="1:5" ht="13.5" thickBot="1">
      <c r="A2" s="106"/>
      <c r="B2" s="106"/>
      <c r="C2" s="106"/>
      <c r="D2" s="106"/>
      <c r="E2" s="106"/>
    </row>
    <row r="3" spans="1:6" s="51" customFormat="1" ht="19.5" customHeight="1">
      <c r="A3" s="260"/>
      <c r="B3" s="218" t="s">
        <v>38</v>
      </c>
      <c r="C3" s="156" t="s">
        <v>39</v>
      </c>
      <c r="D3" s="219" t="s">
        <v>40</v>
      </c>
      <c r="E3" s="261"/>
      <c r="F3" s="54"/>
    </row>
    <row r="4" spans="1:6" s="51" customFormat="1" ht="12.75">
      <c r="A4" s="262" t="s">
        <v>9</v>
      </c>
      <c r="B4" s="93" t="s">
        <v>41</v>
      </c>
      <c r="C4" s="220" t="s">
        <v>42</v>
      </c>
      <c r="D4" s="221" t="s">
        <v>43</v>
      </c>
      <c r="E4" s="263"/>
      <c r="F4" s="54"/>
    </row>
    <row r="5" spans="1:6" s="51" customFormat="1" ht="12.75">
      <c r="A5" s="264"/>
      <c r="B5" s="94" t="s">
        <v>44</v>
      </c>
      <c r="C5" s="94" t="s">
        <v>45</v>
      </c>
      <c r="D5" s="222" t="s">
        <v>46</v>
      </c>
      <c r="E5" s="176" t="s">
        <v>47</v>
      </c>
      <c r="F5" s="54"/>
    </row>
    <row r="6" spans="1:6" ht="12.75">
      <c r="A6" s="168"/>
      <c r="B6" s="89"/>
      <c r="C6" s="140"/>
      <c r="D6" s="178"/>
      <c r="E6" s="265"/>
      <c r="F6" s="35"/>
    </row>
    <row r="7" spans="1:5" ht="12.75" customHeight="1">
      <c r="A7" s="266" t="s">
        <v>14</v>
      </c>
      <c r="B7" s="148">
        <f>'Cap3- 5'!D28</f>
        <v>19203.159999999996</v>
      </c>
      <c r="C7" s="148">
        <f>'Cap3- 5'!E28</f>
        <v>386009993.33</v>
      </c>
      <c r="D7" s="223">
        <f>'Cap3- 5'!F28</f>
        <v>1239421.1199999999</v>
      </c>
      <c r="E7" s="223">
        <f>'Cap3- 5'!G28</f>
        <v>314242.2</v>
      </c>
    </row>
    <row r="8" spans="1:5" ht="12" customHeight="1">
      <c r="A8" s="266" t="s">
        <v>15</v>
      </c>
      <c r="B8" s="148">
        <f>+'Cap3- 5'!D60</f>
        <v>16592.52</v>
      </c>
      <c r="C8" s="66">
        <f>'Cap3- 5'!E60</f>
        <v>5529620.5</v>
      </c>
      <c r="D8" s="110">
        <f>'Cap3- 5'!F60</f>
        <v>2679670.65</v>
      </c>
      <c r="E8" s="110">
        <f>'Cap3- 5'!G60</f>
        <v>2323098.25</v>
      </c>
    </row>
    <row r="9" spans="1:5" ht="12.75">
      <c r="A9" s="266" t="s">
        <v>16</v>
      </c>
      <c r="B9" s="148">
        <f>+'Cap3- 5'!D90</f>
        <v>102376.49999999999</v>
      </c>
      <c r="C9" s="66">
        <f>'Cap3- 5'!E90</f>
        <v>17004698.136</v>
      </c>
      <c r="D9" s="110">
        <f>'Cap3- 5'!F90</f>
        <v>225557</v>
      </c>
      <c r="E9" s="110">
        <f>'Cap3- 5'!G90</f>
        <v>73347256</v>
      </c>
    </row>
    <row r="10" spans="1:5" ht="12.75">
      <c r="A10" s="266" t="s">
        <v>17</v>
      </c>
      <c r="B10" s="148">
        <f>+'Cap3- 5'!D125</f>
        <v>48470.89999999999</v>
      </c>
      <c r="C10" s="66">
        <f>'Cap3- 5'!E125</f>
        <v>15896923.03</v>
      </c>
      <c r="D10" s="110">
        <f>'Cap3- 5'!F125</f>
        <v>1227813</v>
      </c>
      <c r="E10" s="110">
        <f>'Cap3- 5'!G125</f>
        <v>13458890</v>
      </c>
    </row>
    <row r="11" spans="1:5" ht="12.75">
      <c r="A11" s="266" t="s">
        <v>18</v>
      </c>
      <c r="B11" s="148">
        <f>+'Cap3- 5'!D157</f>
        <v>12277.9</v>
      </c>
      <c r="C11" s="224">
        <f>'Cap3- 5'!E157</f>
        <v>3658579.7</v>
      </c>
      <c r="D11" s="225">
        <f>'Cap3- 5'!F157</f>
        <v>735449.6</v>
      </c>
      <c r="E11" s="225">
        <f>'Cap3- 5'!G157</f>
        <v>2570359.87</v>
      </c>
    </row>
    <row r="12" spans="1:5" ht="12.75">
      <c r="A12" s="266" t="s">
        <v>19</v>
      </c>
      <c r="B12" s="148">
        <f>+'Cap3- 5'!D183</f>
        <v>17465.26</v>
      </c>
      <c r="C12" s="66">
        <f>'Cap3- 5'!E183</f>
        <v>5097822.93</v>
      </c>
      <c r="D12" s="110">
        <f>'Cap3- 5'!F183</f>
        <v>1822368.8</v>
      </c>
      <c r="E12" s="110">
        <f>'Cap3- 5'!G183</f>
        <v>1040051</v>
      </c>
    </row>
    <row r="13" spans="1:5" ht="12.75">
      <c r="A13" s="266" t="s">
        <v>20</v>
      </c>
      <c r="B13" s="148">
        <f>+'Cap3- 5'!D205</f>
        <v>23902.15</v>
      </c>
      <c r="C13" s="66">
        <f>'Cap3- 5'!E205</f>
        <v>6373064</v>
      </c>
      <c r="D13" s="110">
        <f>'Cap3- 5'!F205</f>
        <v>1732752</v>
      </c>
      <c r="E13" s="110">
        <f>'Cap3- 5'!G205</f>
        <v>1884646</v>
      </c>
    </row>
    <row r="14" spans="1:5" ht="12.75">
      <c r="A14" s="267"/>
      <c r="B14" s="147"/>
      <c r="C14" s="34"/>
      <c r="D14" s="111"/>
      <c r="E14" s="268"/>
    </row>
    <row r="15" spans="1:5" ht="15" customHeight="1" thickBot="1">
      <c r="A15" s="269" t="s">
        <v>21</v>
      </c>
      <c r="B15" s="226">
        <f>SUM(B7:B13)</f>
        <v>240288.38999999998</v>
      </c>
      <c r="C15" s="226">
        <f>SUM(C7:C13)</f>
        <v>439570701.6259999</v>
      </c>
      <c r="D15" s="227">
        <f>SUM(D7:D13)</f>
        <v>9663032.169999998</v>
      </c>
      <c r="E15" s="270">
        <f>SUM(E7:E13)</f>
        <v>94938543.32000001</v>
      </c>
    </row>
    <row r="16" spans="1:5" ht="12.75">
      <c r="A16" s="106"/>
      <c r="B16" s="106"/>
      <c r="C16" s="106"/>
      <c r="D16" s="106"/>
      <c r="E16" s="106"/>
    </row>
    <row r="17" spans="1:7" ht="12.75">
      <c r="A17" s="213" t="s">
        <v>304</v>
      </c>
      <c r="B17" s="98"/>
      <c r="C17" s="98"/>
      <c r="D17" s="98"/>
      <c r="E17" s="98"/>
      <c r="F17" s="99"/>
      <c r="G17" s="99"/>
    </row>
    <row r="18" spans="1:7" ht="12.75">
      <c r="A18" s="191" t="s">
        <v>251</v>
      </c>
      <c r="B18" s="98"/>
      <c r="C18" s="98"/>
      <c r="D18" s="98"/>
      <c r="E18" s="98"/>
      <c r="F18" s="99"/>
      <c r="G18" s="99"/>
    </row>
    <row r="19" spans="1:8" ht="12.75">
      <c r="A19" s="120"/>
      <c r="B19" s="99"/>
      <c r="C19" s="99"/>
      <c r="D19" s="99"/>
      <c r="E19" s="99"/>
      <c r="F19" s="99"/>
      <c r="G19" s="99"/>
      <c r="H19" s="99"/>
    </row>
    <row r="20" ht="12.75">
      <c r="D20" s="190"/>
    </row>
  </sheetData>
  <sheetProtection/>
  <printOptions horizontalCentered="1"/>
  <pageMargins left="0.5905511811023623" right="0.5905511811023623" top="0.7874015748031497" bottom="0.5905511811023623" header="0.2362204724409449" footer="0.11811023622047245"/>
  <pageSetup firstPageNumber="125" useFirstPageNumber="1" horizontalDpi="600" verticalDpi="600" orientation="portrait" paperSize="9" r:id="rId1"/>
  <headerFooter alignWithMargins="0">
    <oddFooter xml:space="preserve">&amp;C&amp;8&amp;P&amp;10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0"/>
  <sheetViews>
    <sheetView view="pageBreakPreview" zoomScaleSheetLayoutView="100" zoomScalePageLayoutView="0" workbookViewId="0" topLeftCell="A175">
      <selection activeCell="J208" sqref="J208"/>
    </sheetView>
  </sheetViews>
  <sheetFormatPr defaultColWidth="11.57421875" defaultRowHeight="12.75"/>
  <cols>
    <col min="1" max="1" width="4.00390625" style="15" customWidth="1"/>
    <col min="2" max="2" width="1.57421875" style="11" customWidth="1"/>
    <col min="3" max="3" width="37.7109375" style="0" customWidth="1"/>
    <col min="4" max="4" width="11.7109375" style="0" bestFit="1" customWidth="1"/>
    <col min="5" max="5" width="14.28125" style="6" customWidth="1"/>
    <col min="6" max="6" width="12.00390625" style="6" customWidth="1"/>
    <col min="7" max="7" width="11.7109375" style="6" bestFit="1" customWidth="1"/>
    <col min="8" max="8" width="25.7109375" style="0" customWidth="1"/>
  </cols>
  <sheetData>
    <row r="1" spans="1:8" ht="12.75" customHeight="1">
      <c r="A1" s="308" t="s">
        <v>257</v>
      </c>
      <c r="B1" s="309"/>
      <c r="C1" s="309"/>
      <c r="D1" s="309"/>
      <c r="E1" s="309"/>
      <c r="F1" s="309"/>
      <c r="G1" s="309"/>
      <c r="H1" s="309"/>
    </row>
    <row r="2" spans="1:8" ht="12.75" customHeight="1">
      <c r="A2" s="306" t="s">
        <v>108</v>
      </c>
      <c r="B2" s="307"/>
      <c r="C2" s="307"/>
      <c r="D2" s="307"/>
      <c r="E2" s="307"/>
      <c r="F2" s="307"/>
      <c r="G2" s="307"/>
      <c r="H2" s="307"/>
    </row>
    <row r="3" ht="14.25" customHeight="1" thickBot="1">
      <c r="D3" s="19"/>
    </row>
    <row r="4" spans="1:8" s="51" customFormat="1" ht="12.75">
      <c r="A4" s="150"/>
      <c r="B4" s="150"/>
      <c r="C4" s="151"/>
      <c r="D4" s="152" t="s">
        <v>38</v>
      </c>
      <c r="E4" s="153" t="s">
        <v>39</v>
      </c>
      <c r="F4" s="310" t="s">
        <v>2</v>
      </c>
      <c r="G4" s="311"/>
      <c r="H4" s="235"/>
    </row>
    <row r="5" spans="1:8" s="51" customFormat="1" ht="14.25" customHeight="1">
      <c r="A5" s="48"/>
      <c r="B5" s="48"/>
      <c r="C5" s="135" t="s">
        <v>197</v>
      </c>
      <c r="D5" s="52" t="s">
        <v>41</v>
      </c>
      <c r="E5" s="55" t="s">
        <v>42</v>
      </c>
      <c r="F5" s="312" t="s">
        <v>3</v>
      </c>
      <c r="G5" s="313"/>
      <c r="H5" s="56" t="s">
        <v>50</v>
      </c>
    </row>
    <row r="6" spans="1:8" s="51" customFormat="1" ht="14.25" customHeight="1">
      <c r="A6" s="47"/>
      <c r="B6" s="47"/>
      <c r="C6" s="57"/>
      <c r="D6" s="58" t="s">
        <v>44</v>
      </c>
      <c r="E6" s="59" t="s">
        <v>45</v>
      </c>
      <c r="F6" s="60" t="s">
        <v>46</v>
      </c>
      <c r="G6" s="335" t="s">
        <v>47</v>
      </c>
      <c r="H6" s="61"/>
    </row>
    <row r="7" spans="1:8" ht="12.75" customHeight="1">
      <c r="A7" s="16"/>
      <c r="B7" s="12"/>
      <c r="C7" s="4"/>
      <c r="D7" s="163"/>
      <c r="E7" s="164"/>
      <c r="F7" s="164"/>
      <c r="G7" s="164"/>
      <c r="H7" s="236"/>
    </row>
    <row r="8" spans="1:11" ht="12.75" customHeight="1">
      <c r="A8" s="38" t="s">
        <v>14</v>
      </c>
      <c r="B8" s="22" t="s">
        <v>75</v>
      </c>
      <c r="C8" s="73" t="s">
        <v>209</v>
      </c>
      <c r="D8" s="8">
        <v>716.2</v>
      </c>
      <c r="E8" s="8">
        <v>166929</v>
      </c>
      <c r="F8" s="8">
        <v>60541.7</v>
      </c>
      <c r="G8" s="68"/>
      <c r="H8" s="237" t="s">
        <v>178</v>
      </c>
      <c r="J8" s="231"/>
      <c r="K8" s="231"/>
    </row>
    <row r="9" spans="1:11" ht="12.75" customHeight="1">
      <c r="A9" s="38" t="s">
        <v>15</v>
      </c>
      <c r="B9" s="22" t="s">
        <v>75</v>
      </c>
      <c r="C9" s="12" t="s">
        <v>147</v>
      </c>
      <c r="D9" s="8">
        <v>1598.5</v>
      </c>
      <c r="E9" s="8">
        <v>344920</v>
      </c>
      <c r="F9" s="68">
        <v>82015</v>
      </c>
      <c r="G9" s="68"/>
      <c r="H9" s="236" t="s">
        <v>52</v>
      </c>
      <c r="J9" s="231"/>
      <c r="K9" s="231"/>
    </row>
    <row r="10" spans="1:11" ht="12.75" customHeight="1">
      <c r="A10" s="38" t="s">
        <v>16</v>
      </c>
      <c r="B10" s="22" t="s">
        <v>75</v>
      </c>
      <c r="C10" s="12" t="s">
        <v>206</v>
      </c>
      <c r="D10" s="8">
        <v>156.1</v>
      </c>
      <c r="E10" s="8">
        <v>43440</v>
      </c>
      <c r="F10" s="8"/>
      <c r="G10" s="68">
        <v>29659</v>
      </c>
      <c r="H10" s="236" t="s">
        <v>52</v>
      </c>
      <c r="J10" s="231"/>
      <c r="K10" s="231"/>
    </row>
    <row r="11" spans="1:11" ht="12.75" customHeight="1">
      <c r="A11" s="38" t="s">
        <v>17</v>
      </c>
      <c r="B11" s="22" t="s">
        <v>75</v>
      </c>
      <c r="C11" s="12" t="s">
        <v>148</v>
      </c>
      <c r="D11" s="8">
        <v>677.9</v>
      </c>
      <c r="E11" s="8">
        <v>156720</v>
      </c>
      <c r="F11" s="68">
        <v>47453</v>
      </c>
      <c r="G11" s="68"/>
      <c r="H11" s="238" t="s">
        <v>51</v>
      </c>
      <c r="J11" s="231"/>
      <c r="K11" s="231"/>
    </row>
    <row r="12" spans="1:11" ht="12.75" customHeight="1">
      <c r="A12" s="38" t="s">
        <v>18</v>
      </c>
      <c r="B12" s="22" t="s">
        <v>75</v>
      </c>
      <c r="C12" s="12" t="s">
        <v>204</v>
      </c>
      <c r="D12" s="8">
        <v>290</v>
      </c>
      <c r="E12" s="8">
        <v>58000</v>
      </c>
      <c r="F12" s="68">
        <v>20300</v>
      </c>
      <c r="G12" s="68"/>
      <c r="H12" s="238" t="s">
        <v>205</v>
      </c>
      <c r="J12" s="231"/>
      <c r="K12" s="231"/>
    </row>
    <row r="13" spans="1:11" ht="12.75" customHeight="1">
      <c r="A13" s="38" t="s">
        <v>19</v>
      </c>
      <c r="B13" s="22" t="s">
        <v>75</v>
      </c>
      <c r="C13" s="12" t="s">
        <v>127</v>
      </c>
      <c r="D13" s="8">
        <v>3284.3</v>
      </c>
      <c r="E13" s="8">
        <v>382399701</v>
      </c>
      <c r="F13" s="68">
        <v>284043</v>
      </c>
      <c r="G13" s="68">
        <v>110640</v>
      </c>
      <c r="H13" s="237" t="s">
        <v>128</v>
      </c>
      <c r="J13" s="231"/>
      <c r="K13" s="231"/>
    </row>
    <row r="14" spans="1:11" ht="12.75">
      <c r="A14" s="38" t="s">
        <v>20</v>
      </c>
      <c r="B14" s="22" t="s">
        <v>75</v>
      </c>
      <c r="C14" s="12" t="s">
        <v>207</v>
      </c>
      <c r="D14" s="8">
        <v>824.3</v>
      </c>
      <c r="E14" s="8">
        <v>219922</v>
      </c>
      <c r="F14" s="68">
        <v>59425</v>
      </c>
      <c r="G14" s="68"/>
      <c r="H14" s="237" t="s">
        <v>208</v>
      </c>
      <c r="J14" s="231"/>
      <c r="K14" s="231"/>
    </row>
    <row r="15" spans="1:11" ht="12.75">
      <c r="A15" s="38" t="s">
        <v>23</v>
      </c>
      <c r="B15" s="22" t="s">
        <v>75</v>
      </c>
      <c r="C15" s="12" t="s">
        <v>176</v>
      </c>
      <c r="D15" s="8">
        <v>506</v>
      </c>
      <c r="E15" s="8">
        <v>141680</v>
      </c>
      <c r="F15" s="68">
        <v>51436</v>
      </c>
      <c r="G15" s="68"/>
      <c r="H15" s="237" t="s">
        <v>53</v>
      </c>
      <c r="J15" s="231"/>
      <c r="K15" s="231"/>
    </row>
    <row r="16" spans="1:11" ht="12.75">
      <c r="A16" s="38" t="s">
        <v>24</v>
      </c>
      <c r="B16" s="22" t="s">
        <v>75</v>
      </c>
      <c r="C16" s="98" t="s">
        <v>267</v>
      </c>
      <c r="D16" s="8">
        <v>123.01</v>
      </c>
      <c r="E16" s="8">
        <v>80268</v>
      </c>
      <c r="F16" s="68"/>
      <c r="G16" s="68">
        <v>95423</v>
      </c>
      <c r="H16" s="239" t="s">
        <v>51</v>
      </c>
      <c r="J16" s="231"/>
      <c r="K16" s="231"/>
    </row>
    <row r="17" spans="1:11" ht="12.75">
      <c r="A17" s="38" t="s">
        <v>25</v>
      </c>
      <c r="B17" s="22" t="s">
        <v>75</v>
      </c>
      <c r="C17" s="98" t="s">
        <v>244</v>
      </c>
      <c r="D17" s="8">
        <v>3253.1</v>
      </c>
      <c r="E17" s="8">
        <v>743996</v>
      </c>
      <c r="F17" s="68">
        <v>165607.9</v>
      </c>
      <c r="G17" s="68"/>
      <c r="H17" s="239" t="s">
        <v>51</v>
      </c>
      <c r="J17" s="231"/>
      <c r="K17" s="231"/>
    </row>
    <row r="18" spans="1:11" ht="12.75">
      <c r="A18" s="38" t="s">
        <v>26</v>
      </c>
      <c r="B18" s="22" t="s">
        <v>75</v>
      </c>
      <c r="C18" s="12" t="s">
        <v>169</v>
      </c>
      <c r="D18" s="8">
        <v>1242.62</v>
      </c>
      <c r="E18" s="8">
        <v>294477.5</v>
      </c>
      <c r="F18" s="68">
        <v>86206.6</v>
      </c>
      <c r="G18" s="68"/>
      <c r="H18" s="239" t="s">
        <v>51</v>
      </c>
      <c r="J18" s="231"/>
      <c r="K18" s="231"/>
    </row>
    <row r="19" spans="1:11" ht="12.75">
      <c r="A19" s="38" t="s">
        <v>27</v>
      </c>
      <c r="B19" s="22" t="s">
        <v>75</v>
      </c>
      <c r="C19" s="12" t="s">
        <v>126</v>
      </c>
      <c r="D19" s="8">
        <v>1538.8</v>
      </c>
      <c r="E19" s="8">
        <v>378070.4</v>
      </c>
      <c r="F19" s="68">
        <f>(92328-12073.2)</f>
        <v>80254.8</v>
      </c>
      <c r="G19" s="68">
        <v>12073.2</v>
      </c>
      <c r="H19" s="239" t="s">
        <v>52</v>
      </c>
      <c r="J19" s="231"/>
      <c r="K19" s="231"/>
    </row>
    <row r="20" spans="1:11" ht="12.75">
      <c r="A20" s="38" t="s">
        <v>28</v>
      </c>
      <c r="B20" s="22" t="s">
        <v>75</v>
      </c>
      <c r="C20" s="12" t="s">
        <v>238</v>
      </c>
      <c r="D20" s="8">
        <v>607.4</v>
      </c>
      <c r="E20" s="8">
        <v>113064</v>
      </c>
      <c r="F20" s="8"/>
      <c r="G20" s="68">
        <v>66447</v>
      </c>
      <c r="H20" s="239" t="s">
        <v>51</v>
      </c>
      <c r="J20" s="231"/>
      <c r="K20" s="231"/>
    </row>
    <row r="21" spans="1:11" ht="12.75">
      <c r="A21" s="38" t="s">
        <v>29</v>
      </c>
      <c r="B21" s="22" t="s">
        <v>75</v>
      </c>
      <c r="C21" s="12" t="s">
        <v>177</v>
      </c>
      <c r="D21" s="8">
        <v>616.4</v>
      </c>
      <c r="E21" s="8">
        <v>141117</v>
      </c>
      <c r="F21" s="68">
        <v>51915</v>
      </c>
      <c r="G21" s="68"/>
      <c r="H21" s="237" t="s">
        <v>178</v>
      </c>
      <c r="J21" s="231"/>
      <c r="K21" s="231"/>
    </row>
    <row r="22" spans="1:11" ht="12.75">
      <c r="A22" s="38" t="s">
        <v>30</v>
      </c>
      <c r="B22" s="22" t="s">
        <v>75</v>
      </c>
      <c r="C22" s="16" t="s">
        <v>105</v>
      </c>
      <c r="D22" s="8">
        <v>922.6</v>
      </c>
      <c r="E22" s="8">
        <v>198.43</v>
      </c>
      <c r="F22" s="68">
        <v>35194.72</v>
      </c>
      <c r="G22" s="68"/>
      <c r="H22" s="237" t="s">
        <v>51</v>
      </c>
      <c r="J22" s="231"/>
      <c r="K22" s="231"/>
    </row>
    <row r="23" spans="1:11" ht="12.75">
      <c r="A23" s="38" t="s">
        <v>31</v>
      </c>
      <c r="B23" s="22" t="s">
        <v>75</v>
      </c>
      <c r="C23" s="98" t="s">
        <v>262</v>
      </c>
      <c r="D23" s="8">
        <v>1190.83</v>
      </c>
      <c r="E23" s="8">
        <v>321531</v>
      </c>
      <c r="F23" s="68">
        <v>109381</v>
      </c>
      <c r="G23" s="68"/>
      <c r="H23" s="237" t="s">
        <v>51</v>
      </c>
      <c r="J23" s="231"/>
      <c r="K23" s="231"/>
    </row>
    <row r="24" spans="1:11" ht="12.75">
      <c r="A24" s="38" t="s">
        <v>32</v>
      </c>
      <c r="B24" s="22" t="s">
        <v>75</v>
      </c>
      <c r="C24" s="12" t="s">
        <v>149</v>
      </c>
      <c r="D24" s="8">
        <v>187.7</v>
      </c>
      <c r="E24" s="8">
        <v>47750</v>
      </c>
      <c r="F24" s="68">
        <v>1122</v>
      </c>
      <c r="G24" s="69"/>
      <c r="H24" s="237" t="s">
        <v>51</v>
      </c>
      <c r="J24" s="231"/>
      <c r="K24" s="231"/>
    </row>
    <row r="25" spans="1:11" ht="12.75">
      <c r="A25" s="38" t="s">
        <v>33</v>
      </c>
      <c r="B25" s="22" t="s">
        <v>75</v>
      </c>
      <c r="C25" s="12" t="s">
        <v>150</v>
      </c>
      <c r="D25" s="8">
        <v>697.3</v>
      </c>
      <c r="E25" s="8">
        <v>183942</v>
      </c>
      <c r="F25" s="68">
        <v>45535</v>
      </c>
      <c r="G25" s="69"/>
      <c r="H25" s="237" t="s">
        <v>151</v>
      </c>
      <c r="J25" s="231"/>
      <c r="K25" s="231"/>
    </row>
    <row r="26" spans="1:11" ht="12.75">
      <c r="A26" s="38" t="s">
        <v>138</v>
      </c>
      <c r="B26" s="22" t="s">
        <v>75</v>
      </c>
      <c r="C26" s="72" t="s">
        <v>116</v>
      </c>
      <c r="D26" s="8">
        <f>(285.6+313.6+170.9)</f>
        <v>770.1</v>
      </c>
      <c r="E26" s="8">
        <f>(62832+72128+39307)</f>
        <v>174267</v>
      </c>
      <c r="F26" s="105">
        <f>(23704.8+25715.2+9570.4)</f>
        <v>58990.4</v>
      </c>
      <c r="G26" s="71"/>
      <c r="H26" s="237" t="s">
        <v>51</v>
      </c>
      <c r="J26" s="231"/>
      <c r="K26" s="231"/>
    </row>
    <row r="27" spans="1:8" ht="12.75">
      <c r="A27" s="24"/>
      <c r="B27" s="72"/>
      <c r="C27" s="16"/>
      <c r="D27" s="8"/>
      <c r="E27" s="8"/>
      <c r="F27" s="68"/>
      <c r="G27" s="71"/>
      <c r="H27" s="237"/>
    </row>
    <row r="28" spans="1:10" s="109" customFormat="1" ht="21" customHeight="1" thickBot="1">
      <c r="A28" s="336" t="s">
        <v>21</v>
      </c>
      <c r="B28" s="336"/>
      <c r="C28" s="337"/>
      <c r="D28" s="338">
        <f>SUM(D8:D27)</f>
        <v>19203.159999999996</v>
      </c>
      <c r="E28" s="338">
        <f>SUM(E8:E27)</f>
        <v>386009993.33</v>
      </c>
      <c r="F28" s="338">
        <f>SUM(F8:F27)</f>
        <v>1239421.1199999999</v>
      </c>
      <c r="G28" s="338">
        <f>SUM(G8:G27)</f>
        <v>314242.2</v>
      </c>
      <c r="H28" s="339"/>
      <c r="J28" s="232"/>
    </row>
    <row r="29" spans="1:8" ht="15.75" customHeight="1">
      <c r="A29" s="39"/>
      <c r="B29" s="39"/>
      <c r="C29" s="39"/>
      <c r="D29" s="36"/>
      <c r="E29" s="40"/>
      <c r="F29" s="40"/>
      <c r="G29" s="40"/>
      <c r="H29" s="4"/>
    </row>
    <row r="30" spans="1:8" ht="16.5">
      <c r="A30" s="314" t="s">
        <v>257</v>
      </c>
      <c r="B30" s="315"/>
      <c r="C30" s="315"/>
      <c r="D30" s="315"/>
      <c r="E30" s="315"/>
      <c r="F30" s="315"/>
      <c r="G30" s="315"/>
      <c r="H30" s="315"/>
    </row>
    <row r="31" spans="1:8" ht="20.25" customHeight="1">
      <c r="A31" s="307" t="s">
        <v>110</v>
      </c>
      <c r="B31" s="307"/>
      <c r="C31" s="307"/>
      <c r="D31" s="307"/>
      <c r="E31" s="307"/>
      <c r="F31" s="307"/>
      <c r="G31" s="307"/>
      <c r="H31" s="307"/>
    </row>
    <row r="32" ht="13.5" thickBot="1"/>
    <row r="33" spans="1:8" s="51" customFormat="1" ht="12.75">
      <c r="A33" s="150"/>
      <c r="B33" s="150"/>
      <c r="C33" s="151"/>
      <c r="D33" s="152" t="s">
        <v>38</v>
      </c>
      <c r="E33" s="153" t="s">
        <v>39</v>
      </c>
      <c r="F33" s="310" t="s">
        <v>2</v>
      </c>
      <c r="G33" s="311"/>
      <c r="H33" s="240"/>
    </row>
    <row r="34" spans="1:8" s="51" customFormat="1" ht="12.75">
      <c r="A34" s="48"/>
      <c r="B34" s="48"/>
      <c r="C34" s="135" t="s">
        <v>197</v>
      </c>
      <c r="D34" s="52" t="s">
        <v>41</v>
      </c>
      <c r="E34" s="55" t="s">
        <v>42</v>
      </c>
      <c r="F34" s="312" t="s">
        <v>3</v>
      </c>
      <c r="G34" s="313"/>
      <c r="H34" s="56" t="s">
        <v>50</v>
      </c>
    </row>
    <row r="35" spans="1:8" s="51" customFormat="1" ht="12.75">
      <c r="A35" s="47"/>
      <c r="B35" s="47"/>
      <c r="C35" s="57"/>
      <c r="D35" s="58" t="s">
        <v>44</v>
      </c>
      <c r="E35" s="59" t="s">
        <v>45</v>
      </c>
      <c r="F35" s="60" t="s">
        <v>46</v>
      </c>
      <c r="G35" s="62" t="s">
        <v>47</v>
      </c>
      <c r="H35" s="61"/>
    </row>
    <row r="36" spans="1:8" ht="12.75">
      <c r="A36" s="16"/>
      <c r="B36" s="12"/>
      <c r="C36" s="4"/>
      <c r="D36" s="162"/>
      <c r="E36" s="69"/>
      <c r="F36" s="126"/>
      <c r="G36" s="173"/>
      <c r="H36" s="5"/>
    </row>
    <row r="37" spans="1:11" s="100" customFormat="1" ht="12.75">
      <c r="A37" s="24" t="s">
        <v>14</v>
      </c>
      <c r="B37" s="22" t="s">
        <v>75</v>
      </c>
      <c r="C37" s="106" t="s">
        <v>181</v>
      </c>
      <c r="D37" s="8">
        <v>2670.2</v>
      </c>
      <c r="E37" s="69">
        <v>633577</v>
      </c>
      <c r="F37" s="126">
        <v>295116</v>
      </c>
      <c r="G37" s="32"/>
      <c r="H37" s="5" t="s">
        <v>56</v>
      </c>
      <c r="J37" s="231"/>
      <c r="K37" s="231"/>
    </row>
    <row r="38" spans="1:11" ht="12.75">
      <c r="A38" s="24" t="s">
        <v>15</v>
      </c>
      <c r="B38" s="22" t="s">
        <v>75</v>
      </c>
      <c r="C38" s="12" t="s">
        <v>171</v>
      </c>
      <c r="D38" s="8">
        <v>62.3</v>
      </c>
      <c r="E38" s="69">
        <v>18690</v>
      </c>
      <c r="F38" s="126">
        <v>6853</v>
      </c>
      <c r="G38" s="32"/>
      <c r="H38" s="5" t="s">
        <v>55</v>
      </c>
      <c r="J38" s="231"/>
      <c r="K38" s="231"/>
    </row>
    <row r="39" spans="1:11" ht="12.75">
      <c r="A39" s="24" t="s">
        <v>16</v>
      </c>
      <c r="B39" s="22" t="s">
        <v>75</v>
      </c>
      <c r="C39" s="12" t="s">
        <v>179</v>
      </c>
      <c r="D39" s="8">
        <v>320.8</v>
      </c>
      <c r="E39" s="69">
        <v>93032</v>
      </c>
      <c r="F39" s="126">
        <v>44912</v>
      </c>
      <c r="G39" s="32"/>
      <c r="H39" s="5" t="s">
        <v>180</v>
      </c>
      <c r="J39" s="231"/>
      <c r="K39" s="231"/>
    </row>
    <row r="40" spans="1:11" ht="12.75">
      <c r="A40" s="24" t="s">
        <v>17</v>
      </c>
      <c r="B40" s="22" t="s">
        <v>75</v>
      </c>
      <c r="C40" s="12" t="s">
        <v>278</v>
      </c>
      <c r="D40" s="8">
        <v>316.1</v>
      </c>
      <c r="E40" s="69">
        <v>94418</v>
      </c>
      <c r="F40" s="126">
        <v>54786</v>
      </c>
      <c r="G40" s="32"/>
      <c r="H40" s="5" t="s">
        <v>56</v>
      </c>
      <c r="J40" s="231"/>
      <c r="K40" s="231"/>
    </row>
    <row r="41" spans="1:11" ht="12.75">
      <c r="A41" s="24" t="s">
        <v>18</v>
      </c>
      <c r="B41" s="22" t="s">
        <v>75</v>
      </c>
      <c r="C41" s="12" t="s">
        <v>269</v>
      </c>
      <c r="D41" s="8">
        <v>74.4</v>
      </c>
      <c r="E41" s="69">
        <v>19209</v>
      </c>
      <c r="F41" s="126">
        <v>29265</v>
      </c>
      <c r="G41" s="32"/>
      <c r="H41" s="5" t="s">
        <v>54</v>
      </c>
      <c r="J41" s="231"/>
      <c r="K41" s="231"/>
    </row>
    <row r="42" spans="1:11" ht="12.75">
      <c r="A42" s="24" t="s">
        <v>19</v>
      </c>
      <c r="B42" s="22" t="s">
        <v>75</v>
      </c>
      <c r="C42" s="12" t="s">
        <v>182</v>
      </c>
      <c r="D42" s="8">
        <f>(592.4+207.7+472.4+317+243+94.7+21.8)</f>
        <v>1949</v>
      </c>
      <c r="E42" s="69">
        <f>(3706+17993+46170+88760+134634+35309+168834)</f>
        <v>495406</v>
      </c>
      <c r="F42" s="126">
        <f>(59240+12462+47240+34870+1308)</f>
        <v>155120</v>
      </c>
      <c r="G42" s="32">
        <f>(38880+15152)</f>
        <v>54032</v>
      </c>
      <c r="H42" s="5" t="s">
        <v>183</v>
      </c>
      <c r="J42" s="231"/>
      <c r="K42" s="231"/>
    </row>
    <row r="43" spans="1:11" ht="12.75">
      <c r="A43" s="24" t="s">
        <v>20</v>
      </c>
      <c r="B43" s="22" t="s">
        <v>75</v>
      </c>
      <c r="C43" s="12" t="s">
        <v>129</v>
      </c>
      <c r="D43" s="8">
        <v>2324.9</v>
      </c>
      <c r="E43" s="69">
        <v>658094</v>
      </c>
      <c r="F43" s="126">
        <v>246448.5</v>
      </c>
      <c r="G43" s="32"/>
      <c r="H43" s="5" t="s">
        <v>55</v>
      </c>
      <c r="J43" s="231"/>
      <c r="K43" s="231"/>
    </row>
    <row r="44" spans="1:11" ht="12.75">
      <c r="A44" s="24" t="s">
        <v>23</v>
      </c>
      <c r="B44" s="22" t="s">
        <v>75</v>
      </c>
      <c r="C44" s="12" t="s">
        <v>203</v>
      </c>
      <c r="D44" s="8">
        <v>869.7</v>
      </c>
      <c r="E44" s="69">
        <v>295344</v>
      </c>
      <c r="F44" s="126">
        <v>185822</v>
      </c>
      <c r="G44" s="76">
        <v>911698</v>
      </c>
      <c r="H44" s="5" t="s">
        <v>54</v>
      </c>
      <c r="J44" s="231"/>
      <c r="K44" s="231"/>
    </row>
    <row r="45" spans="1:11" ht="12.75">
      <c r="A45" s="24" t="s">
        <v>24</v>
      </c>
      <c r="B45" s="22" t="s">
        <v>75</v>
      </c>
      <c r="C45" s="12" t="s">
        <v>270</v>
      </c>
      <c r="D45" s="8">
        <v>154.3</v>
      </c>
      <c r="E45" s="69">
        <v>25803</v>
      </c>
      <c r="F45" s="70">
        <v>5776</v>
      </c>
      <c r="G45" s="76"/>
      <c r="H45" s="5" t="s">
        <v>271</v>
      </c>
      <c r="J45" s="231"/>
      <c r="K45" s="231"/>
    </row>
    <row r="46" spans="1:11" ht="12.75">
      <c r="A46" s="24" t="s">
        <v>25</v>
      </c>
      <c r="B46" s="22" t="s">
        <v>75</v>
      </c>
      <c r="C46" s="12" t="s">
        <v>273</v>
      </c>
      <c r="D46" s="8">
        <v>113.7</v>
      </c>
      <c r="E46" s="69">
        <v>20466</v>
      </c>
      <c r="F46" s="70">
        <v>4548</v>
      </c>
      <c r="G46" s="76"/>
      <c r="H46" s="5" t="s">
        <v>274</v>
      </c>
      <c r="J46" s="231"/>
      <c r="K46" s="231"/>
    </row>
    <row r="47" spans="1:11" ht="12.75">
      <c r="A47" s="24" t="s">
        <v>26</v>
      </c>
      <c r="B47" s="22" t="s">
        <v>75</v>
      </c>
      <c r="C47" s="12" t="s">
        <v>153</v>
      </c>
      <c r="D47" s="8">
        <v>265</v>
      </c>
      <c r="E47" s="69">
        <v>125096</v>
      </c>
      <c r="F47" s="70"/>
      <c r="G47" s="76">
        <v>241466</v>
      </c>
      <c r="H47" s="73" t="s">
        <v>154</v>
      </c>
      <c r="J47" s="231"/>
      <c r="K47" s="231"/>
    </row>
    <row r="48" spans="1:11" ht="12.75">
      <c r="A48" s="24" t="s">
        <v>27</v>
      </c>
      <c r="B48" s="22" t="s">
        <v>75</v>
      </c>
      <c r="C48" s="12" t="s">
        <v>266</v>
      </c>
      <c r="D48" s="8">
        <v>410.6</v>
      </c>
      <c r="E48" s="69"/>
      <c r="F48" s="70"/>
      <c r="G48" s="76">
        <v>49278</v>
      </c>
      <c r="H48" s="90" t="s">
        <v>54</v>
      </c>
      <c r="J48" s="231"/>
      <c r="K48" s="231"/>
    </row>
    <row r="49" spans="1:11" ht="12.75">
      <c r="A49" s="24" t="s">
        <v>28</v>
      </c>
      <c r="B49" s="22" t="s">
        <v>75</v>
      </c>
      <c r="C49" s="12" t="s">
        <v>152</v>
      </c>
      <c r="D49" s="8">
        <v>356.7</v>
      </c>
      <c r="E49" s="69">
        <v>80548</v>
      </c>
      <c r="F49" s="172">
        <v>13812</v>
      </c>
      <c r="G49" s="68">
        <v>43488</v>
      </c>
      <c r="H49" s="90" t="s">
        <v>54</v>
      </c>
      <c r="J49" s="231"/>
      <c r="K49" s="231"/>
    </row>
    <row r="50" spans="1:11" ht="12.75">
      <c r="A50" s="24" t="s">
        <v>29</v>
      </c>
      <c r="B50" s="22" t="s">
        <v>75</v>
      </c>
      <c r="C50" s="12" t="s">
        <v>275</v>
      </c>
      <c r="D50" s="8">
        <v>8.6</v>
      </c>
      <c r="E50" s="69">
        <v>1247</v>
      </c>
      <c r="F50" s="70">
        <v>549</v>
      </c>
      <c r="G50" s="76"/>
      <c r="H50" s="106" t="s">
        <v>57</v>
      </c>
      <c r="J50" s="231"/>
      <c r="K50" s="231"/>
    </row>
    <row r="51" spans="1:11" ht="12.75">
      <c r="A51" s="24" t="s">
        <v>30</v>
      </c>
      <c r="B51" s="22" t="s">
        <v>75</v>
      </c>
      <c r="C51" s="16" t="s">
        <v>106</v>
      </c>
      <c r="D51" s="8">
        <v>1234.47</v>
      </c>
      <c r="E51" s="69">
        <v>1261500</v>
      </c>
      <c r="F51" s="9">
        <v>1345524</v>
      </c>
      <c r="G51" s="76"/>
      <c r="H51" s="73" t="s">
        <v>57</v>
      </c>
      <c r="J51" s="231"/>
      <c r="K51" s="231"/>
    </row>
    <row r="52" spans="1:11" ht="12.75">
      <c r="A52" s="24" t="s">
        <v>31</v>
      </c>
      <c r="B52" s="22" t="s">
        <v>75</v>
      </c>
      <c r="C52" s="16" t="s">
        <v>95</v>
      </c>
      <c r="D52" s="8">
        <v>207</v>
      </c>
      <c r="E52" s="69">
        <v>51750</v>
      </c>
      <c r="F52" s="70">
        <v>14735</v>
      </c>
      <c r="G52" s="76"/>
      <c r="H52" s="73" t="s">
        <v>54</v>
      </c>
      <c r="J52" s="231"/>
      <c r="K52" s="231"/>
    </row>
    <row r="53" spans="1:11" ht="12.75">
      <c r="A53" s="24" t="s">
        <v>32</v>
      </c>
      <c r="B53" s="22" t="s">
        <v>75</v>
      </c>
      <c r="C53" s="16" t="s">
        <v>184</v>
      </c>
      <c r="D53" s="8">
        <v>376.1</v>
      </c>
      <c r="E53" s="69">
        <v>118951</v>
      </c>
      <c r="F53" s="70">
        <v>116570</v>
      </c>
      <c r="G53" s="76"/>
      <c r="H53" s="73" t="s">
        <v>54</v>
      </c>
      <c r="J53" s="231"/>
      <c r="K53" s="231"/>
    </row>
    <row r="54" spans="1:11" ht="12.75">
      <c r="A54" s="24" t="s">
        <v>33</v>
      </c>
      <c r="B54" s="22" t="s">
        <v>75</v>
      </c>
      <c r="C54" s="16" t="s">
        <v>174</v>
      </c>
      <c r="D54" s="8">
        <v>3151.25</v>
      </c>
      <c r="E54" s="69">
        <v>997032</v>
      </c>
      <c r="F54" s="70">
        <f>(157.5+4606.25)</f>
        <v>4763.75</v>
      </c>
      <c r="G54" s="76">
        <f>(768739-F54)</f>
        <v>763975.25</v>
      </c>
      <c r="H54" s="73" t="s">
        <v>54</v>
      </c>
      <c r="J54" s="231"/>
      <c r="K54" s="231"/>
    </row>
    <row r="55" spans="1:11" ht="12.75">
      <c r="A55" s="24" t="s">
        <v>138</v>
      </c>
      <c r="B55" s="22" t="s">
        <v>75</v>
      </c>
      <c r="C55" s="98" t="s">
        <v>279</v>
      </c>
      <c r="D55" s="8">
        <v>219.8</v>
      </c>
      <c r="E55" s="69">
        <v>87920</v>
      </c>
      <c r="F55" s="70">
        <v>76930</v>
      </c>
      <c r="G55" s="76"/>
      <c r="H55" s="106" t="s">
        <v>54</v>
      </c>
      <c r="J55" s="231"/>
      <c r="K55" s="231"/>
    </row>
    <row r="56" spans="1:11" ht="12.75">
      <c r="A56" s="24" t="s">
        <v>166</v>
      </c>
      <c r="B56" s="22" t="s">
        <v>75</v>
      </c>
      <c r="C56" s="16" t="s">
        <v>97</v>
      </c>
      <c r="D56" s="8">
        <v>916.4</v>
      </c>
      <c r="E56" s="69">
        <v>214481.5</v>
      </c>
      <c r="F56" s="70">
        <v>61118.4</v>
      </c>
      <c r="G56" s="76"/>
      <c r="H56" s="73" t="s">
        <v>55</v>
      </c>
      <c r="J56" s="231"/>
      <c r="K56" s="231"/>
    </row>
    <row r="57" spans="1:11" ht="12.75">
      <c r="A57" s="24" t="s">
        <v>167</v>
      </c>
      <c r="B57" s="22" t="s">
        <v>75</v>
      </c>
      <c r="C57" s="98" t="s">
        <v>276</v>
      </c>
      <c r="D57" s="8">
        <v>492.5</v>
      </c>
      <c r="E57" s="69">
        <v>191337</v>
      </c>
      <c r="F57" s="70">
        <f>(7058+9964)</f>
        <v>17022</v>
      </c>
      <c r="G57" s="76">
        <f>(63300+95468)</f>
        <v>158768</v>
      </c>
      <c r="H57" s="106" t="s">
        <v>277</v>
      </c>
      <c r="J57" s="231"/>
      <c r="K57" s="231"/>
    </row>
    <row r="58" spans="1:11" ht="12.75">
      <c r="A58" s="24" t="s">
        <v>168</v>
      </c>
      <c r="B58" s="22" t="s">
        <v>75</v>
      </c>
      <c r="C58" s="98" t="s">
        <v>280</v>
      </c>
      <c r="D58" s="8">
        <v>98.7</v>
      </c>
      <c r="E58" s="69">
        <v>45719</v>
      </c>
      <c r="F58" s="70"/>
      <c r="G58" s="76">
        <v>100393</v>
      </c>
      <c r="H58" s="106" t="s">
        <v>57</v>
      </c>
      <c r="J58" s="231"/>
      <c r="K58" s="231"/>
    </row>
    <row r="59" spans="1:8" ht="12.75">
      <c r="A59" s="241"/>
      <c r="B59" s="242"/>
      <c r="C59" s="243"/>
      <c r="D59" s="244"/>
      <c r="E59" s="245"/>
      <c r="F59" s="246"/>
      <c r="G59" s="124"/>
      <c r="H59" s="247"/>
    </row>
    <row r="60" spans="1:10" s="109" customFormat="1" ht="21.75" customHeight="1" thickBot="1">
      <c r="A60" s="340"/>
      <c r="B60" s="341"/>
      <c r="C60" s="293" t="s">
        <v>21</v>
      </c>
      <c r="D60" s="342">
        <f>SUM(D37:D59)</f>
        <v>16592.52</v>
      </c>
      <c r="E60" s="342">
        <f>SUM(E37:E59)</f>
        <v>5529620.5</v>
      </c>
      <c r="F60" s="342">
        <f>SUM(F37:F59)</f>
        <v>2679670.65</v>
      </c>
      <c r="G60" s="342">
        <f>SUM(G37:G59)</f>
        <v>2323098.25</v>
      </c>
      <c r="H60" s="343"/>
      <c r="J60" s="232"/>
    </row>
    <row r="61" spans="1:8" ht="16.5" customHeight="1">
      <c r="A61" s="24"/>
      <c r="B61" s="22"/>
      <c r="C61" s="13"/>
      <c r="D61" s="36"/>
      <c r="E61" s="40"/>
      <c r="F61" s="41"/>
      <c r="G61" s="41"/>
      <c r="H61" s="4"/>
    </row>
    <row r="62" spans="1:8" ht="16.5">
      <c r="A62" s="314" t="s">
        <v>257</v>
      </c>
      <c r="B62" s="315"/>
      <c r="C62" s="315"/>
      <c r="D62" s="315"/>
      <c r="E62" s="315"/>
      <c r="F62" s="315"/>
      <c r="G62" s="315"/>
      <c r="H62" s="315"/>
    </row>
    <row r="63" spans="1:8" ht="16.5" customHeight="1">
      <c r="A63" s="307" t="s">
        <v>109</v>
      </c>
      <c r="B63" s="307"/>
      <c r="C63" s="307"/>
      <c r="D63" s="307"/>
      <c r="E63" s="307"/>
      <c r="F63" s="307"/>
      <c r="G63" s="307"/>
      <c r="H63" s="307"/>
    </row>
    <row r="64" spans="4:8" ht="13.5" thickBot="1">
      <c r="D64" s="4"/>
      <c r="E64" s="9"/>
      <c r="F64" s="9"/>
      <c r="G64" s="9"/>
      <c r="H64" s="4"/>
    </row>
    <row r="65" spans="1:8" s="51" customFormat="1" ht="12.75">
      <c r="A65" s="150"/>
      <c r="B65" s="150"/>
      <c r="C65" s="151"/>
      <c r="D65" s="152" t="s">
        <v>38</v>
      </c>
      <c r="E65" s="153" t="s">
        <v>39</v>
      </c>
      <c r="F65" s="310" t="s">
        <v>2</v>
      </c>
      <c r="G65" s="311"/>
      <c r="H65" s="240"/>
    </row>
    <row r="66" spans="1:8" s="51" customFormat="1" ht="12.75">
      <c r="A66" s="48"/>
      <c r="B66" s="48"/>
      <c r="C66" s="135" t="s">
        <v>201</v>
      </c>
      <c r="D66" s="52" t="s">
        <v>41</v>
      </c>
      <c r="E66" s="55" t="s">
        <v>42</v>
      </c>
      <c r="F66" s="312" t="s">
        <v>3</v>
      </c>
      <c r="G66" s="313"/>
      <c r="H66" s="56" t="s">
        <v>50</v>
      </c>
    </row>
    <row r="67" spans="1:8" s="51" customFormat="1" ht="12.75">
      <c r="A67" s="47"/>
      <c r="B67" s="47"/>
      <c r="C67" s="57"/>
      <c r="D67" s="58" t="s">
        <v>44</v>
      </c>
      <c r="E67" s="59" t="s">
        <v>45</v>
      </c>
      <c r="F67" s="60" t="s">
        <v>46</v>
      </c>
      <c r="G67" s="62" t="s">
        <v>47</v>
      </c>
      <c r="H67" s="61"/>
    </row>
    <row r="68" spans="1:8" ht="12.75">
      <c r="A68" s="16"/>
      <c r="B68" s="12"/>
      <c r="D68" s="3"/>
      <c r="E68" s="8"/>
      <c r="F68" s="123"/>
      <c r="G68" s="123"/>
      <c r="H68" s="4"/>
    </row>
    <row r="69" spans="1:11" ht="12.75">
      <c r="A69" s="26" t="s">
        <v>14</v>
      </c>
      <c r="B69" s="22" t="s">
        <v>75</v>
      </c>
      <c r="C69" s="11" t="s">
        <v>122</v>
      </c>
      <c r="D69" s="8">
        <v>2429</v>
      </c>
      <c r="E69" s="21">
        <v>943127</v>
      </c>
      <c r="F69" s="8"/>
      <c r="G69" s="27">
        <v>911639</v>
      </c>
      <c r="H69" s="33" t="s">
        <v>123</v>
      </c>
      <c r="J69" s="231"/>
      <c r="K69" s="231"/>
    </row>
    <row r="70" spans="1:11" ht="12.75">
      <c r="A70" s="26" t="s">
        <v>15</v>
      </c>
      <c r="B70" s="22" t="s">
        <v>75</v>
      </c>
      <c r="C70" s="33" t="s">
        <v>212</v>
      </c>
      <c r="D70" s="8">
        <v>14613.5</v>
      </c>
      <c r="E70" s="8"/>
      <c r="F70" s="8"/>
      <c r="G70" s="8">
        <v>54085785</v>
      </c>
      <c r="H70" s="95" t="s">
        <v>239</v>
      </c>
      <c r="J70" s="231"/>
      <c r="K70" s="231"/>
    </row>
    <row r="71" spans="1:11" ht="12.75">
      <c r="A71" s="26" t="s">
        <v>16</v>
      </c>
      <c r="B71" s="22" t="s">
        <v>75</v>
      </c>
      <c r="C71" s="4" t="s">
        <v>155</v>
      </c>
      <c r="D71" s="8">
        <v>366.3</v>
      </c>
      <c r="E71" s="27">
        <v>73120</v>
      </c>
      <c r="F71" s="8">
        <v>85584</v>
      </c>
      <c r="G71" s="27">
        <f>(14872+21646)</f>
        <v>36518</v>
      </c>
      <c r="H71" s="33" t="s">
        <v>58</v>
      </c>
      <c r="J71" s="231"/>
      <c r="K71" s="231"/>
    </row>
    <row r="72" spans="1:11" ht="12.75">
      <c r="A72" s="26" t="s">
        <v>17</v>
      </c>
      <c r="B72" s="22" t="s">
        <v>75</v>
      </c>
      <c r="C72" s="11" t="s">
        <v>92</v>
      </c>
      <c r="D72" s="8">
        <v>391.45</v>
      </c>
      <c r="E72" s="21"/>
      <c r="F72" s="8"/>
      <c r="G72" s="27">
        <v>140056</v>
      </c>
      <c r="H72" s="33" t="s">
        <v>58</v>
      </c>
      <c r="J72" s="231"/>
      <c r="K72" s="231"/>
    </row>
    <row r="73" spans="1:11" ht="12" customHeight="1">
      <c r="A73" s="26" t="s">
        <v>18</v>
      </c>
      <c r="B73" s="22" t="s">
        <v>75</v>
      </c>
      <c r="C73" s="11" t="s">
        <v>252</v>
      </c>
      <c r="D73" s="8">
        <v>1663.38</v>
      </c>
      <c r="E73" s="21">
        <v>313566</v>
      </c>
      <c r="F73" s="8"/>
      <c r="G73" s="8">
        <v>435652</v>
      </c>
      <c r="H73" s="33" t="s">
        <v>58</v>
      </c>
      <c r="J73" s="231"/>
      <c r="K73" s="231"/>
    </row>
    <row r="74" spans="1:11" ht="12" customHeight="1">
      <c r="A74" s="26" t="s">
        <v>19</v>
      </c>
      <c r="B74" s="22" t="s">
        <v>75</v>
      </c>
      <c r="C74" s="11" t="s">
        <v>130</v>
      </c>
      <c r="D74" s="8">
        <v>15447.35</v>
      </c>
      <c r="E74" s="21"/>
      <c r="F74" s="8"/>
      <c r="G74" s="8">
        <v>4927045</v>
      </c>
      <c r="H74" s="33" t="s">
        <v>58</v>
      </c>
      <c r="J74" s="231"/>
      <c r="K74" s="231"/>
    </row>
    <row r="75" spans="1:11" ht="12.75">
      <c r="A75" s="26" t="s">
        <v>20</v>
      </c>
      <c r="B75" s="22" t="s">
        <v>75</v>
      </c>
      <c r="C75" s="11" t="s">
        <v>118</v>
      </c>
      <c r="D75" s="8">
        <v>12</v>
      </c>
      <c r="E75" s="21"/>
      <c r="F75" s="8"/>
      <c r="G75" s="27">
        <v>425903</v>
      </c>
      <c r="H75" s="33" t="s">
        <v>58</v>
      </c>
      <c r="J75" s="231"/>
      <c r="K75" s="231"/>
    </row>
    <row r="76" spans="1:11" ht="12.75">
      <c r="A76" s="26" t="s">
        <v>23</v>
      </c>
      <c r="B76" s="22" t="s">
        <v>75</v>
      </c>
      <c r="C76" s="11" t="s">
        <v>241</v>
      </c>
      <c r="D76" s="8">
        <f>(561+1473)</f>
        <v>2034</v>
      </c>
      <c r="E76" s="21">
        <f>(100980+304900)</f>
        <v>405880</v>
      </c>
      <c r="F76" s="8"/>
      <c r="G76" s="27">
        <f>(56100+235700)</f>
        <v>291800</v>
      </c>
      <c r="H76" s="33" t="s">
        <v>58</v>
      </c>
      <c r="J76" s="231"/>
      <c r="K76" s="231"/>
    </row>
    <row r="77" spans="1:11" ht="12.75">
      <c r="A77" s="26" t="s">
        <v>24</v>
      </c>
      <c r="B77" s="22" t="s">
        <v>75</v>
      </c>
      <c r="C77" s="11" t="s">
        <v>211</v>
      </c>
      <c r="D77" s="8">
        <v>901.2</v>
      </c>
      <c r="E77" s="21">
        <v>210164</v>
      </c>
      <c r="F77" s="8">
        <f>(103296-63727)</f>
        <v>39569</v>
      </c>
      <c r="G77" s="27">
        <v>63727</v>
      </c>
      <c r="H77" s="33" t="s">
        <v>58</v>
      </c>
      <c r="J77" s="231"/>
      <c r="K77" s="231"/>
    </row>
    <row r="78" spans="1:11" ht="12.75">
      <c r="A78" s="26" t="s">
        <v>25</v>
      </c>
      <c r="B78" s="22" t="s">
        <v>75</v>
      </c>
      <c r="C78" s="11" t="s">
        <v>80</v>
      </c>
      <c r="D78" s="8">
        <v>278.1</v>
      </c>
      <c r="E78" s="21">
        <v>75228</v>
      </c>
      <c r="F78" s="8"/>
      <c r="G78" s="27">
        <v>74470</v>
      </c>
      <c r="H78" s="33" t="s">
        <v>58</v>
      </c>
      <c r="J78" s="231"/>
      <c r="K78" s="231"/>
    </row>
    <row r="79" spans="1:11" ht="12.75">
      <c r="A79" s="26" t="s">
        <v>26</v>
      </c>
      <c r="B79" s="22" t="s">
        <v>75</v>
      </c>
      <c r="C79" s="11" t="s">
        <v>98</v>
      </c>
      <c r="D79" s="8">
        <v>1662.32</v>
      </c>
      <c r="E79" s="21">
        <v>276843</v>
      </c>
      <c r="F79" s="8"/>
      <c r="G79" s="27">
        <v>257603</v>
      </c>
      <c r="H79" s="33" t="s">
        <v>58</v>
      </c>
      <c r="J79" s="231"/>
      <c r="K79" s="231"/>
    </row>
    <row r="80" spans="1:11" ht="12.75">
      <c r="A80" s="26" t="s">
        <v>27</v>
      </c>
      <c r="B80" s="22" t="s">
        <v>75</v>
      </c>
      <c r="C80" s="11" t="s">
        <v>131</v>
      </c>
      <c r="D80" s="8">
        <v>246.7</v>
      </c>
      <c r="E80" s="21">
        <v>110999</v>
      </c>
      <c r="F80" s="27">
        <v>73140</v>
      </c>
      <c r="G80" s="27"/>
      <c r="H80" t="s">
        <v>58</v>
      </c>
      <c r="J80" s="231"/>
      <c r="K80" s="231"/>
    </row>
    <row r="81" spans="1:11" s="100" customFormat="1" ht="12.75">
      <c r="A81" s="26" t="s">
        <v>28</v>
      </c>
      <c r="B81" s="22" t="s">
        <v>75</v>
      </c>
      <c r="C81" s="99" t="s">
        <v>156</v>
      </c>
      <c r="D81" s="8">
        <v>1042.8</v>
      </c>
      <c r="E81" s="105"/>
      <c r="F81" s="101"/>
      <c r="G81" s="101">
        <v>104200</v>
      </c>
      <c r="H81" s="100" t="s">
        <v>58</v>
      </c>
      <c r="J81" s="231"/>
      <c r="K81" s="231"/>
    </row>
    <row r="82" spans="1:11" s="100" customFormat="1" ht="12.75">
      <c r="A82" s="26" t="s">
        <v>29</v>
      </c>
      <c r="B82" s="22"/>
      <c r="C82" s="99" t="s">
        <v>305</v>
      </c>
      <c r="D82" s="8">
        <v>88</v>
      </c>
      <c r="E82" s="105">
        <v>18320</v>
      </c>
      <c r="F82" s="230"/>
      <c r="G82" s="101">
        <v>21495</v>
      </c>
      <c r="H82" s="100" t="s">
        <v>58</v>
      </c>
      <c r="J82" s="231"/>
      <c r="K82" s="231"/>
    </row>
    <row r="83" spans="1:11" s="100" customFormat="1" ht="12.75">
      <c r="A83" s="26" t="s">
        <v>30</v>
      </c>
      <c r="B83" s="22" t="s">
        <v>75</v>
      </c>
      <c r="C83" s="99" t="s">
        <v>292</v>
      </c>
      <c r="D83" s="8">
        <v>433.2</v>
      </c>
      <c r="E83" s="105">
        <v>129960</v>
      </c>
      <c r="G83" s="101">
        <v>77976</v>
      </c>
      <c r="H83" s="100" t="s">
        <v>59</v>
      </c>
      <c r="J83" s="231"/>
      <c r="K83" s="231"/>
    </row>
    <row r="84" spans="1:11" ht="12.75">
      <c r="A84" s="26" t="s">
        <v>31</v>
      </c>
      <c r="B84" s="22" t="s">
        <v>75</v>
      </c>
      <c r="C84" s="11" t="s">
        <v>157</v>
      </c>
      <c r="D84" s="8">
        <v>48184</v>
      </c>
      <c r="E84" s="21">
        <v>14215545</v>
      </c>
      <c r="F84" s="8"/>
      <c r="G84" s="27">
        <v>6849974</v>
      </c>
      <c r="H84" t="s">
        <v>59</v>
      </c>
      <c r="J84" s="231"/>
      <c r="K84" s="231"/>
    </row>
    <row r="85" spans="1:11" ht="12.75">
      <c r="A85" s="26" t="s">
        <v>32</v>
      </c>
      <c r="B85" s="22" t="s">
        <v>75</v>
      </c>
      <c r="C85" s="11" t="s">
        <v>282</v>
      </c>
      <c r="D85" s="8">
        <v>802.4</v>
      </c>
      <c r="E85" s="21">
        <v>104023.136</v>
      </c>
      <c r="F85" s="8">
        <v>24072</v>
      </c>
      <c r="G85" s="27"/>
      <c r="H85" t="s">
        <v>58</v>
      </c>
      <c r="J85" s="231"/>
      <c r="K85" s="231"/>
    </row>
    <row r="86" spans="1:11" ht="12.75">
      <c r="A86" s="26" t="s">
        <v>33</v>
      </c>
      <c r="B86" s="22" t="s">
        <v>75</v>
      </c>
      <c r="C86" s="11" t="s">
        <v>286</v>
      </c>
      <c r="D86" s="8">
        <v>289</v>
      </c>
      <c r="E86" s="21">
        <v>69360</v>
      </c>
      <c r="F86" s="8"/>
      <c r="G86" s="27">
        <v>72250</v>
      </c>
      <c r="H86" t="s">
        <v>58</v>
      </c>
      <c r="J86" s="231"/>
      <c r="K86" s="231"/>
    </row>
    <row r="87" spans="1:11" ht="12.75">
      <c r="A87" s="26" t="s">
        <v>138</v>
      </c>
      <c r="B87" s="22" t="s">
        <v>75</v>
      </c>
      <c r="C87" s="11" t="s">
        <v>119</v>
      </c>
      <c r="D87" s="8">
        <v>11387.7</v>
      </c>
      <c r="E87" s="21"/>
      <c r="F87" s="8"/>
      <c r="G87" s="27">
        <v>4497993</v>
      </c>
      <c r="H87" t="s">
        <v>58</v>
      </c>
      <c r="J87" s="231"/>
      <c r="K87" s="231"/>
    </row>
    <row r="88" spans="1:11" ht="12.75">
      <c r="A88" s="26" t="s">
        <v>166</v>
      </c>
      <c r="B88" s="22" t="s">
        <v>75</v>
      </c>
      <c r="C88" s="11" t="s">
        <v>158</v>
      </c>
      <c r="D88" s="8">
        <v>104.1</v>
      </c>
      <c r="E88" s="20">
        <v>58563</v>
      </c>
      <c r="F88" s="28">
        <v>3192</v>
      </c>
      <c r="G88" s="28">
        <v>73170</v>
      </c>
      <c r="H88" t="s">
        <v>59</v>
      </c>
      <c r="J88" s="231"/>
      <c r="K88" s="231"/>
    </row>
    <row r="89" spans="1:7" ht="12.75">
      <c r="A89" s="38"/>
      <c r="B89" s="22"/>
      <c r="C89" s="11"/>
      <c r="D89" s="8"/>
      <c r="E89" s="20"/>
      <c r="F89" s="28"/>
      <c r="G89" s="124"/>
    </row>
    <row r="90" spans="1:10" ht="16.5" customHeight="1" thickBot="1">
      <c r="A90" s="336" t="s">
        <v>21</v>
      </c>
      <c r="B90" s="336"/>
      <c r="C90" s="337"/>
      <c r="D90" s="344">
        <f>SUM(D69:D89)</f>
        <v>102376.49999999999</v>
      </c>
      <c r="E90" s="344">
        <f>SUM(E69:E89)</f>
        <v>17004698.136</v>
      </c>
      <c r="F90" s="344">
        <f>SUM(F69:F89)</f>
        <v>225557</v>
      </c>
      <c r="G90" s="344">
        <f>SUM(G69:G89)</f>
        <v>73347256</v>
      </c>
      <c r="H90" s="345"/>
      <c r="J90" s="233"/>
    </row>
    <row r="91" spans="1:8" ht="14.25" customHeight="1">
      <c r="A91" s="42"/>
      <c r="B91" s="42"/>
      <c r="C91" s="42"/>
      <c r="D91" s="43"/>
      <c r="E91" s="40"/>
      <c r="F91" s="41"/>
      <c r="G91" s="41"/>
      <c r="H91" s="4"/>
    </row>
    <row r="92" spans="1:8" ht="12.75" customHeight="1">
      <c r="A92" s="314" t="s">
        <v>257</v>
      </c>
      <c r="B92" s="315"/>
      <c r="C92" s="315"/>
      <c r="D92" s="315"/>
      <c r="E92" s="315"/>
      <c r="F92" s="315"/>
      <c r="G92" s="315"/>
      <c r="H92" s="315"/>
    </row>
    <row r="93" spans="1:8" ht="13.5" customHeight="1">
      <c r="A93" s="307" t="s">
        <v>111</v>
      </c>
      <c r="B93" s="307"/>
      <c r="C93" s="307"/>
      <c r="D93" s="307"/>
      <c r="E93" s="307"/>
      <c r="F93" s="307"/>
      <c r="G93" s="307"/>
      <c r="H93" s="307"/>
    </row>
    <row r="94" ht="14.25" customHeight="1" thickBot="1">
      <c r="A94" s="16"/>
    </row>
    <row r="95" spans="1:8" s="51" customFormat="1" ht="12.75">
      <c r="A95" s="150"/>
      <c r="B95" s="150"/>
      <c r="C95" s="151"/>
      <c r="D95" s="152" t="s">
        <v>38</v>
      </c>
      <c r="E95" s="153" t="s">
        <v>39</v>
      </c>
      <c r="F95" s="310" t="s">
        <v>2</v>
      </c>
      <c r="G95" s="311"/>
      <c r="H95" s="240"/>
    </row>
    <row r="96" spans="1:8" s="51" customFormat="1" ht="12.75">
      <c r="A96" s="48"/>
      <c r="B96" s="48"/>
      <c r="C96" s="135" t="s">
        <v>197</v>
      </c>
      <c r="D96" s="52" t="s">
        <v>41</v>
      </c>
      <c r="E96" s="55" t="s">
        <v>42</v>
      </c>
      <c r="F96" s="312" t="s">
        <v>3</v>
      </c>
      <c r="G96" s="313"/>
      <c r="H96" s="56" t="s">
        <v>50</v>
      </c>
    </row>
    <row r="97" spans="1:8" s="51" customFormat="1" ht="12.75">
      <c r="A97" s="47"/>
      <c r="B97" s="47"/>
      <c r="C97" s="57"/>
      <c r="D97" s="58" t="s">
        <v>44</v>
      </c>
      <c r="E97" s="59" t="s">
        <v>45</v>
      </c>
      <c r="F97" s="60" t="s">
        <v>46</v>
      </c>
      <c r="G97" s="62" t="s">
        <v>47</v>
      </c>
      <c r="H97" s="61"/>
    </row>
    <row r="98" spans="1:8" ht="12.75">
      <c r="A98" s="16"/>
      <c r="B98" s="12"/>
      <c r="C98" s="4"/>
      <c r="D98" s="1"/>
      <c r="E98" s="7"/>
      <c r="F98" s="10"/>
      <c r="G98" s="127"/>
      <c r="H98" s="5"/>
    </row>
    <row r="99" spans="1:11" ht="12.75">
      <c r="A99" s="38" t="s">
        <v>14</v>
      </c>
      <c r="B99" s="22" t="s">
        <v>75</v>
      </c>
      <c r="C99" s="4" t="s">
        <v>284</v>
      </c>
      <c r="D99" s="8">
        <v>138.3</v>
      </c>
      <c r="E99" s="32">
        <v>79478</v>
      </c>
      <c r="F99" s="10"/>
      <c r="G99" s="29">
        <v>81849</v>
      </c>
      <c r="H99" t="s">
        <v>223</v>
      </c>
      <c r="J99" s="231"/>
      <c r="K99" s="231"/>
    </row>
    <row r="100" spans="1:11" ht="12.75">
      <c r="A100" s="38" t="s">
        <v>15</v>
      </c>
      <c r="B100" s="22" t="s">
        <v>75</v>
      </c>
      <c r="C100" s="12" t="s">
        <v>260</v>
      </c>
      <c r="D100" s="8">
        <v>63.5</v>
      </c>
      <c r="E100" s="8"/>
      <c r="G100" s="8">
        <v>5010</v>
      </c>
      <c r="H100" t="s">
        <v>223</v>
      </c>
      <c r="J100" s="231"/>
      <c r="K100" s="231"/>
    </row>
    <row r="101" spans="1:11" ht="12.75">
      <c r="A101" s="38" t="s">
        <v>16</v>
      </c>
      <c r="B101" s="22" t="s">
        <v>75</v>
      </c>
      <c r="C101" s="12" t="s">
        <v>285</v>
      </c>
      <c r="D101" s="8">
        <v>35.2</v>
      </c>
      <c r="E101" s="8">
        <v>8180</v>
      </c>
      <c r="F101" s="6">
        <v>3043</v>
      </c>
      <c r="G101" s="8"/>
      <c r="H101" t="s">
        <v>223</v>
      </c>
      <c r="J101" s="231"/>
      <c r="K101" s="231"/>
    </row>
    <row r="102" spans="1:11" s="11" customFormat="1" ht="12.75">
      <c r="A102" s="38" t="s">
        <v>17</v>
      </c>
      <c r="B102" s="22" t="s">
        <v>75</v>
      </c>
      <c r="C102" s="11" t="s">
        <v>159</v>
      </c>
      <c r="D102" s="8">
        <v>1457.4</v>
      </c>
      <c r="E102" s="2">
        <v>478497</v>
      </c>
      <c r="F102" s="125">
        <f>(54637+20125)</f>
        <v>74762</v>
      </c>
      <c r="G102" s="96">
        <f>(9757+189963)</f>
        <v>199720</v>
      </c>
      <c r="H102" s="11" t="s">
        <v>60</v>
      </c>
      <c r="J102" s="231"/>
      <c r="K102" s="231"/>
    </row>
    <row r="103" spans="1:11" s="11" customFormat="1" ht="12.75">
      <c r="A103" s="38" t="s">
        <v>18</v>
      </c>
      <c r="B103" s="22" t="s">
        <v>75</v>
      </c>
      <c r="C103" s="11" t="s">
        <v>214</v>
      </c>
      <c r="D103" s="8">
        <v>45</v>
      </c>
      <c r="E103" s="2">
        <v>7650</v>
      </c>
      <c r="F103" s="125">
        <v>2700</v>
      </c>
      <c r="G103" s="96"/>
      <c r="H103" s="11" t="s">
        <v>215</v>
      </c>
      <c r="J103" s="231"/>
      <c r="K103" s="231"/>
    </row>
    <row r="104" spans="1:256" ht="12.75">
      <c r="A104" s="38" t="s">
        <v>19</v>
      </c>
      <c r="B104" s="22" t="s">
        <v>75</v>
      </c>
      <c r="C104" s="11" t="s">
        <v>283</v>
      </c>
      <c r="D104" s="8">
        <v>1427.5</v>
      </c>
      <c r="E104" s="8">
        <v>831602</v>
      </c>
      <c r="G104" s="8">
        <v>1034737</v>
      </c>
      <c r="H104" s="11" t="s">
        <v>100</v>
      </c>
      <c r="I104" s="11"/>
      <c r="J104" s="231"/>
      <c r="K104" s="23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ht="12.75">
      <c r="A105" s="38" t="s">
        <v>20</v>
      </c>
      <c r="B105" s="22" t="s">
        <v>75</v>
      </c>
      <c r="C105" s="11" t="s">
        <v>160</v>
      </c>
      <c r="D105" s="8">
        <v>132.7</v>
      </c>
      <c r="E105" s="8">
        <v>48739</v>
      </c>
      <c r="F105" s="6">
        <v>720</v>
      </c>
      <c r="G105" s="8">
        <v>43078</v>
      </c>
      <c r="H105" s="11" t="s">
        <v>60</v>
      </c>
      <c r="I105" s="11"/>
      <c r="J105" s="231"/>
      <c r="K105" s="23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ht="12.75">
      <c r="A106" s="38" t="s">
        <v>23</v>
      </c>
      <c r="B106" s="22" t="s">
        <v>75</v>
      </c>
      <c r="C106" s="12" t="s">
        <v>133</v>
      </c>
      <c r="D106" s="8">
        <v>10359.6</v>
      </c>
      <c r="E106" s="8">
        <v>3144662</v>
      </c>
      <c r="F106" s="6">
        <f>(79752+126672+72828)</f>
        <v>279252</v>
      </c>
      <c r="G106" s="8">
        <f>(2070028-F106)</f>
        <v>1790776</v>
      </c>
      <c r="H106" s="11" t="s">
        <v>60</v>
      </c>
      <c r="I106" s="11"/>
      <c r="J106" s="231"/>
      <c r="K106" s="23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100" customFormat="1" ht="12.75">
      <c r="A107" s="38" t="s">
        <v>24</v>
      </c>
      <c r="B107" s="22" t="s">
        <v>75</v>
      </c>
      <c r="C107" s="98" t="s">
        <v>246</v>
      </c>
      <c r="D107" s="8">
        <v>1048.7</v>
      </c>
      <c r="E107" s="122">
        <v>346071</v>
      </c>
      <c r="F107" s="6"/>
      <c r="G107" s="8">
        <v>370296</v>
      </c>
      <c r="H107" s="99" t="s">
        <v>248</v>
      </c>
      <c r="I107" s="99"/>
      <c r="J107" s="231"/>
      <c r="K107" s="231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99"/>
      <c r="DG107" s="99"/>
      <c r="DH107" s="99"/>
      <c r="DI107" s="99"/>
      <c r="DJ107" s="99"/>
      <c r="DK107" s="99"/>
      <c r="DL107" s="99"/>
      <c r="DM107" s="99"/>
      <c r="DN107" s="99"/>
      <c r="DO107" s="99"/>
      <c r="DP107" s="99"/>
      <c r="DQ107" s="99"/>
      <c r="DR107" s="99"/>
      <c r="DS107" s="99"/>
      <c r="DT107" s="99"/>
      <c r="DU107" s="99"/>
      <c r="DV107" s="99"/>
      <c r="DW107" s="99"/>
      <c r="DX107" s="99"/>
      <c r="DY107" s="99"/>
      <c r="DZ107" s="99"/>
      <c r="EA107" s="99"/>
      <c r="EB107" s="99"/>
      <c r="EC107" s="99"/>
      <c r="ED107" s="99"/>
      <c r="EE107" s="99"/>
      <c r="EF107" s="99"/>
      <c r="EG107" s="99"/>
      <c r="EH107" s="99"/>
      <c r="EI107" s="99"/>
      <c r="EJ107" s="99"/>
      <c r="EK107" s="99"/>
      <c r="EL107" s="99"/>
      <c r="EM107" s="99"/>
      <c r="EN107" s="99"/>
      <c r="EO107" s="99"/>
      <c r="EP107" s="99"/>
      <c r="EQ107" s="99"/>
      <c r="ER107" s="99"/>
      <c r="ES107" s="99"/>
      <c r="ET107" s="99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99"/>
      <c r="FG107" s="99"/>
      <c r="FH107" s="99"/>
      <c r="FI107" s="99"/>
      <c r="FJ107" s="99"/>
      <c r="FK107" s="99"/>
      <c r="FL107" s="99"/>
      <c r="FM107" s="99"/>
      <c r="FN107" s="99"/>
      <c r="FO107" s="99"/>
      <c r="FP107" s="99"/>
      <c r="FQ107" s="99"/>
      <c r="FR107" s="99"/>
      <c r="FS107" s="99"/>
      <c r="FT107" s="99"/>
      <c r="FU107" s="99"/>
      <c r="FV107" s="99"/>
      <c r="FW107" s="99"/>
      <c r="FX107" s="99"/>
      <c r="FY107" s="99"/>
      <c r="FZ107" s="99"/>
      <c r="GA107" s="99"/>
      <c r="GB107" s="99"/>
      <c r="GC107" s="99"/>
      <c r="GD107" s="99"/>
      <c r="GE107" s="99"/>
      <c r="GF107" s="99"/>
      <c r="GG107" s="99"/>
      <c r="GH107" s="99"/>
      <c r="GI107" s="99"/>
      <c r="GJ107" s="99"/>
      <c r="GK107" s="99"/>
      <c r="GL107" s="99"/>
      <c r="GM107" s="99"/>
      <c r="GN107" s="99"/>
      <c r="GO107" s="99"/>
      <c r="GP107" s="99"/>
      <c r="GQ107" s="99"/>
      <c r="GR107" s="99"/>
      <c r="GS107" s="99"/>
      <c r="GT107" s="99"/>
      <c r="GU107" s="99"/>
      <c r="GV107" s="99"/>
      <c r="GW107" s="99"/>
      <c r="GX107" s="99"/>
      <c r="GY107" s="99"/>
      <c r="GZ107" s="99"/>
      <c r="HA107" s="99"/>
      <c r="HB107" s="99"/>
      <c r="HC107" s="99"/>
      <c r="HD107" s="99"/>
      <c r="HE107" s="99"/>
      <c r="HF107" s="99"/>
      <c r="HG107" s="99"/>
      <c r="HH107" s="99"/>
      <c r="HI107" s="99"/>
      <c r="HJ107" s="99"/>
      <c r="HK107" s="99"/>
      <c r="HL107" s="99"/>
      <c r="HM107" s="99"/>
      <c r="HN107" s="99"/>
      <c r="HO107" s="99"/>
      <c r="HP107" s="99"/>
      <c r="HQ107" s="99"/>
      <c r="HR107" s="99"/>
      <c r="HS107" s="99"/>
      <c r="HT107" s="99"/>
      <c r="HU107" s="99"/>
      <c r="HV107" s="99"/>
      <c r="HW107" s="99"/>
      <c r="HX107" s="99"/>
      <c r="HY107" s="99"/>
      <c r="HZ107" s="99"/>
      <c r="IA107" s="99"/>
      <c r="IB107" s="99"/>
      <c r="IC107" s="99"/>
      <c r="ID107" s="99"/>
      <c r="IE107" s="99"/>
      <c r="IF107" s="99"/>
      <c r="IG107" s="99"/>
      <c r="IH107" s="99"/>
      <c r="II107" s="99"/>
      <c r="IJ107" s="99"/>
      <c r="IK107" s="99"/>
      <c r="IL107" s="99"/>
      <c r="IM107" s="99"/>
      <c r="IN107" s="99"/>
      <c r="IO107" s="99"/>
      <c r="IP107" s="99"/>
      <c r="IQ107" s="99"/>
      <c r="IR107" s="99"/>
      <c r="IS107" s="99"/>
      <c r="IT107" s="99"/>
      <c r="IU107" s="99"/>
      <c r="IV107" s="99"/>
    </row>
    <row r="108" spans="1:256" s="100" customFormat="1" ht="12.75">
      <c r="A108" s="38" t="s">
        <v>25</v>
      </c>
      <c r="B108" s="22" t="s">
        <v>75</v>
      </c>
      <c r="C108" s="98" t="s">
        <v>287</v>
      </c>
      <c r="D108" s="8">
        <f>(3980.9-18.6)</f>
        <v>3962.3</v>
      </c>
      <c r="E108" s="122">
        <f>(1897466-4484)</f>
        <v>1892982</v>
      </c>
      <c r="F108" s="6">
        <v>4866</v>
      </c>
      <c r="G108" s="8">
        <f>(2502972-608-4866)</f>
        <v>2497498</v>
      </c>
      <c r="H108" s="11" t="s">
        <v>60</v>
      </c>
      <c r="I108" s="99"/>
      <c r="J108" s="231"/>
      <c r="K108" s="231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99"/>
      <c r="GV108" s="99"/>
      <c r="GW108" s="99"/>
      <c r="GX108" s="99"/>
      <c r="GY108" s="99"/>
      <c r="GZ108" s="99"/>
      <c r="HA108" s="99"/>
      <c r="HB108" s="99"/>
      <c r="HC108" s="99"/>
      <c r="HD108" s="99"/>
      <c r="HE108" s="99"/>
      <c r="HF108" s="99"/>
      <c r="HG108" s="99"/>
      <c r="HH108" s="99"/>
      <c r="HI108" s="99"/>
      <c r="HJ108" s="99"/>
      <c r="HK108" s="99"/>
      <c r="HL108" s="99"/>
      <c r="HM108" s="99"/>
      <c r="HN108" s="99"/>
      <c r="HO108" s="99"/>
      <c r="HP108" s="99"/>
      <c r="HQ108" s="99"/>
      <c r="HR108" s="99"/>
      <c r="HS108" s="99"/>
      <c r="HT108" s="99"/>
      <c r="HU108" s="99"/>
      <c r="HV108" s="99"/>
      <c r="HW108" s="99"/>
      <c r="HX108" s="99"/>
      <c r="HY108" s="99"/>
      <c r="HZ108" s="99"/>
      <c r="IA108" s="99"/>
      <c r="IB108" s="99"/>
      <c r="IC108" s="99"/>
      <c r="ID108" s="99"/>
      <c r="IE108" s="99"/>
      <c r="IF108" s="99"/>
      <c r="IG108" s="99"/>
      <c r="IH108" s="99"/>
      <c r="II108" s="99"/>
      <c r="IJ108" s="99"/>
      <c r="IK108" s="99"/>
      <c r="IL108" s="99"/>
      <c r="IM108" s="99"/>
      <c r="IN108" s="99"/>
      <c r="IO108" s="99"/>
      <c r="IP108" s="99"/>
      <c r="IQ108" s="99"/>
      <c r="IR108" s="99"/>
      <c r="IS108" s="99"/>
      <c r="IT108" s="99"/>
      <c r="IU108" s="99"/>
      <c r="IV108" s="99"/>
    </row>
    <row r="109" spans="1:11" ht="12.75">
      <c r="A109" s="38" t="s">
        <v>26</v>
      </c>
      <c r="B109" s="22" t="s">
        <v>75</v>
      </c>
      <c r="C109" s="12" t="s">
        <v>217</v>
      </c>
      <c r="D109" s="8">
        <v>1305.8</v>
      </c>
      <c r="E109" s="69">
        <v>205992</v>
      </c>
      <c r="F109" s="6">
        <v>6534</v>
      </c>
      <c r="G109" s="8">
        <f>(354220-F109)</f>
        <v>347686</v>
      </c>
      <c r="H109" s="91" t="s">
        <v>60</v>
      </c>
      <c r="J109" s="231"/>
      <c r="K109" s="231"/>
    </row>
    <row r="110" spans="1:11" ht="12.75">
      <c r="A110" s="38" t="s">
        <v>27</v>
      </c>
      <c r="B110" s="22" t="s">
        <v>75</v>
      </c>
      <c r="C110" s="12" t="s">
        <v>85</v>
      </c>
      <c r="D110" s="8">
        <v>665</v>
      </c>
      <c r="E110" s="68">
        <v>261750</v>
      </c>
      <c r="G110" s="8">
        <v>234940</v>
      </c>
      <c r="H110" s="74" t="s">
        <v>86</v>
      </c>
      <c r="J110" s="231"/>
      <c r="K110" s="231"/>
    </row>
    <row r="111" spans="1:11" ht="12.75">
      <c r="A111" s="38" t="s">
        <v>28</v>
      </c>
      <c r="B111" s="22" t="s">
        <v>75</v>
      </c>
      <c r="C111" s="12" t="s">
        <v>83</v>
      </c>
      <c r="D111" s="8">
        <v>5865.4</v>
      </c>
      <c r="E111" s="68">
        <v>1723567</v>
      </c>
      <c r="F111" s="6">
        <v>824701</v>
      </c>
      <c r="G111" s="8"/>
      <c r="H111" s="74" t="s">
        <v>84</v>
      </c>
      <c r="J111" s="231"/>
      <c r="K111" s="231"/>
    </row>
    <row r="112" spans="1:11" ht="12.75">
      <c r="A112" s="38" t="s">
        <v>29</v>
      </c>
      <c r="B112" s="22" t="s">
        <v>75</v>
      </c>
      <c r="C112" s="15" t="s">
        <v>87</v>
      </c>
      <c r="D112" s="8">
        <v>422.6</v>
      </c>
      <c r="E112" s="69">
        <v>50120.03</v>
      </c>
      <c r="G112" s="8">
        <v>298711</v>
      </c>
      <c r="H112" s="74" t="s">
        <v>60</v>
      </c>
      <c r="J112" s="231"/>
      <c r="K112" s="231"/>
    </row>
    <row r="113" spans="1:11" ht="12.75">
      <c r="A113" s="38" t="s">
        <v>30</v>
      </c>
      <c r="B113" s="22" t="s">
        <v>75</v>
      </c>
      <c r="C113" s="15" t="s">
        <v>213</v>
      </c>
      <c r="D113" s="8">
        <v>3490.5</v>
      </c>
      <c r="E113" s="69">
        <v>1011839</v>
      </c>
      <c r="G113" s="8">
        <v>1030371</v>
      </c>
      <c r="H113" s="74" t="s">
        <v>216</v>
      </c>
      <c r="J113" s="231"/>
      <c r="K113" s="231"/>
    </row>
    <row r="114" spans="1:11" ht="12.75">
      <c r="A114" s="38" t="s">
        <v>31</v>
      </c>
      <c r="B114" s="22" t="s">
        <v>75</v>
      </c>
      <c r="C114" s="99" t="s">
        <v>261</v>
      </c>
      <c r="D114" s="8">
        <v>947.3</v>
      </c>
      <c r="E114" s="69"/>
      <c r="F114" s="6">
        <v>8702</v>
      </c>
      <c r="G114" s="8">
        <f>364040-8702</f>
        <v>355338</v>
      </c>
      <c r="H114" s="74" t="s">
        <v>216</v>
      </c>
      <c r="J114" s="231"/>
      <c r="K114" s="231"/>
    </row>
    <row r="115" spans="1:11" ht="12.75">
      <c r="A115" s="38" t="s">
        <v>32</v>
      </c>
      <c r="B115" s="22" t="s">
        <v>75</v>
      </c>
      <c r="C115" s="11" t="s">
        <v>134</v>
      </c>
      <c r="D115" s="8">
        <v>1058.8</v>
      </c>
      <c r="E115" s="68">
        <v>573081</v>
      </c>
      <c r="G115" s="8">
        <v>751678</v>
      </c>
      <c r="H115" s="74" t="s">
        <v>60</v>
      </c>
      <c r="J115" s="231"/>
      <c r="K115" s="231"/>
    </row>
    <row r="116" spans="1:12" s="74" customFormat="1" ht="12.75">
      <c r="A116" s="38" t="s">
        <v>33</v>
      </c>
      <c r="B116" s="22"/>
      <c r="C116" s="104" t="s">
        <v>300</v>
      </c>
      <c r="D116" s="8">
        <v>563.2</v>
      </c>
      <c r="E116" s="69">
        <v>438368</v>
      </c>
      <c r="F116" s="6"/>
      <c r="G116" s="8">
        <v>674412</v>
      </c>
      <c r="H116" s="100" t="s">
        <v>223</v>
      </c>
      <c r="J116" s="231"/>
      <c r="K116" s="231"/>
      <c r="L116" s="100"/>
    </row>
    <row r="117" spans="1:12" ht="12.75">
      <c r="A117" s="38" t="s">
        <v>138</v>
      </c>
      <c r="B117" s="22" t="s">
        <v>75</v>
      </c>
      <c r="C117" s="11" t="s">
        <v>288</v>
      </c>
      <c r="D117" s="8">
        <v>219.6</v>
      </c>
      <c r="E117" s="68">
        <v>141552</v>
      </c>
      <c r="G117" s="8">
        <v>187687</v>
      </c>
      <c r="H117" s="74" t="s">
        <v>60</v>
      </c>
      <c r="J117" s="231"/>
      <c r="K117" s="231"/>
      <c r="L117" s="100"/>
    </row>
    <row r="118" spans="1:11" ht="12.75">
      <c r="A118" s="38" t="s">
        <v>166</v>
      </c>
      <c r="B118" s="22" t="s">
        <v>75</v>
      </c>
      <c r="C118" s="11" t="s">
        <v>240</v>
      </c>
      <c r="D118" s="8">
        <v>2946.7</v>
      </c>
      <c r="E118" s="68">
        <v>825672</v>
      </c>
      <c r="G118" s="8">
        <v>953893</v>
      </c>
      <c r="H118" s="74" t="s">
        <v>60</v>
      </c>
      <c r="J118" s="231"/>
      <c r="K118" s="231"/>
    </row>
    <row r="119" spans="1:11" s="100" customFormat="1" ht="12.75">
      <c r="A119" s="38" t="s">
        <v>167</v>
      </c>
      <c r="B119" s="22" t="s">
        <v>75</v>
      </c>
      <c r="C119" s="99" t="s">
        <v>220</v>
      </c>
      <c r="D119" s="8">
        <f>192.5+309.5</f>
        <v>502</v>
      </c>
      <c r="E119" s="105">
        <f>113441+195727</f>
        <v>309168</v>
      </c>
      <c r="F119" s="6"/>
      <c r="G119" s="8">
        <f>170548+242766</f>
        <v>413314</v>
      </c>
      <c r="H119" s="100" t="s">
        <v>60</v>
      </c>
      <c r="J119" s="231"/>
      <c r="K119" s="231"/>
    </row>
    <row r="120" spans="1:11" s="100" customFormat="1" ht="12.75">
      <c r="A120" s="38" t="s">
        <v>168</v>
      </c>
      <c r="B120" s="22" t="s">
        <v>75</v>
      </c>
      <c r="C120" s="99" t="s">
        <v>289</v>
      </c>
      <c r="D120" s="8">
        <v>401.1</v>
      </c>
      <c r="E120" s="105">
        <v>184515</v>
      </c>
      <c r="F120" s="6"/>
      <c r="G120" s="8">
        <v>192528</v>
      </c>
      <c r="H120" s="100" t="s">
        <v>290</v>
      </c>
      <c r="J120" s="231"/>
      <c r="K120" s="231"/>
    </row>
    <row r="121" spans="1:11" ht="12.75">
      <c r="A121" s="38" t="s">
        <v>245</v>
      </c>
      <c r="B121" s="22" t="s">
        <v>75</v>
      </c>
      <c r="C121" s="15" t="s">
        <v>89</v>
      </c>
      <c r="D121" s="8">
        <v>5182.1</v>
      </c>
      <c r="E121" s="68">
        <v>1376391</v>
      </c>
      <c r="F121" s="6">
        <v>19929</v>
      </c>
      <c r="G121" s="8">
        <f>852139-F121</f>
        <v>832210</v>
      </c>
      <c r="H121" s="75" t="s">
        <v>90</v>
      </c>
      <c r="J121" s="231"/>
      <c r="K121" s="231"/>
    </row>
    <row r="122" spans="1:11" ht="12.75">
      <c r="A122" s="38" t="s">
        <v>249</v>
      </c>
      <c r="B122" s="22" t="s">
        <v>75</v>
      </c>
      <c r="C122" s="15" t="s">
        <v>173</v>
      </c>
      <c r="D122" s="8">
        <v>271</v>
      </c>
      <c r="E122" s="68">
        <v>104557</v>
      </c>
      <c r="G122" s="77">
        <v>92536</v>
      </c>
      <c r="H122" s="108" t="s">
        <v>117</v>
      </c>
      <c r="J122" s="231"/>
      <c r="K122" s="231"/>
    </row>
    <row r="123" spans="1:11" ht="12.75">
      <c r="A123" s="38" t="s">
        <v>281</v>
      </c>
      <c r="B123" s="22" t="s">
        <v>75</v>
      </c>
      <c r="C123" s="15" t="s">
        <v>218</v>
      </c>
      <c r="D123" s="8">
        <v>5959.6</v>
      </c>
      <c r="E123" s="68">
        <v>1852490</v>
      </c>
      <c r="F123" s="6">
        <f>(768+1596+108+132)</f>
        <v>2604</v>
      </c>
      <c r="G123" s="77">
        <f>(1073226-F123)</f>
        <v>1070622</v>
      </c>
      <c r="H123" s="108" t="s">
        <v>219</v>
      </c>
      <c r="J123" s="231"/>
      <c r="K123" s="231"/>
    </row>
    <row r="124" spans="1:8" ht="12.75">
      <c r="A124" s="26"/>
      <c r="B124" s="72"/>
      <c r="C124" s="15"/>
      <c r="D124" s="8"/>
      <c r="E124" s="69"/>
      <c r="F124" s="126"/>
      <c r="G124" s="128"/>
      <c r="H124" s="74"/>
    </row>
    <row r="125" spans="1:10" ht="15.75" customHeight="1" thickBot="1">
      <c r="A125" s="336" t="s">
        <v>21</v>
      </c>
      <c r="B125" s="336"/>
      <c r="C125" s="337"/>
      <c r="D125" s="346">
        <f>SUM(D99:D124)</f>
        <v>48470.89999999999</v>
      </c>
      <c r="E125" s="346">
        <f>SUM(E99:E124)</f>
        <v>15896923.03</v>
      </c>
      <c r="F125" s="346">
        <f>SUM(F99:F124)</f>
        <v>1227813</v>
      </c>
      <c r="G125" s="346">
        <f>SUM(G99:G124)</f>
        <v>13458890</v>
      </c>
      <c r="H125" s="347"/>
      <c r="J125" s="233"/>
    </row>
    <row r="126" spans="1:8" ht="17.25" customHeight="1">
      <c r="A126" s="42"/>
      <c r="B126" s="42"/>
      <c r="C126" s="42"/>
      <c r="D126" s="43"/>
      <c r="E126" s="40"/>
      <c r="F126" s="41"/>
      <c r="G126" s="41"/>
      <c r="H126" s="4"/>
    </row>
    <row r="127" spans="1:8" ht="15" customHeight="1">
      <c r="A127" s="308" t="s">
        <v>257</v>
      </c>
      <c r="B127" s="309"/>
      <c r="C127" s="309"/>
      <c r="D127" s="309"/>
      <c r="E127" s="309"/>
      <c r="F127" s="309"/>
      <c r="G127" s="309"/>
      <c r="H127" s="309"/>
    </row>
    <row r="128" spans="1:8" ht="15" customHeight="1">
      <c r="A128" s="306" t="s">
        <v>114</v>
      </c>
      <c r="B128" s="307"/>
      <c r="C128" s="307"/>
      <c r="D128" s="307"/>
      <c r="E128" s="307"/>
      <c r="F128" s="307"/>
      <c r="G128" s="307"/>
      <c r="H128" s="307"/>
    </row>
    <row r="129" ht="13.5" thickBot="1">
      <c r="A129" s="17"/>
    </row>
    <row r="130" spans="1:8" s="51" customFormat="1" ht="12.75">
      <c r="A130" s="348"/>
      <c r="B130" s="150"/>
      <c r="C130" s="151"/>
      <c r="D130" s="152" t="s">
        <v>38</v>
      </c>
      <c r="E130" s="153" t="s">
        <v>39</v>
      </c>
      <c r="F130" s="349" t="s">
        <v>48</v>
      </c>
      <c r="G130" s="350"/>
      <c r="H130" s="240"/>
    </row>
    <row r="131" spans="1:8" s="51" customFormat="1" ht="12.75">
      <c r="A131" s="63"/>
      <c r="B131" s="48"/>
      <c r="C131" s="135" t="s">
        <v>198</v>
      </c>
      <c r="D131" s="52" t="s">
        <v>41</v>
      </c>
      <c r="E131" s="55" t="s">
        <v>42</v>
      </c>
      <c r="F131" s="351" t="s">
        <v>49</v>
      </c>
      <c r="G131" s="352"/>
      <c r="H131" s="56" t="s">
        <v>50</v>
      </c>
    </row>
    <row r="132" spans="1:8" s="51" customFormat="1" ht="12.75">
      <c r="A132" s="64"/>
      <c r="B132" s="47"/>
      <c r="C132" s="57"/>
      <c r="D132" s="58" t="s">
        <v>44</v>
      </c>
      <c r="E132" s="59" t="s">
        <v>45</v>
      </c>
      <c r="F132" s="60" t="s">
        <v>46</v>
      </c>
      <c r="G132" s="62" t="s">
        <v>47</v>
      </c>
      <c r="H132" s="61"/>
    </row>
    <row r="133" spans="1:7" ht="12.75">
      <c r="A133" s="17"/>
      <c r="B133" s="12"/>
      <c r="D133" s="3"/>
      <c r="E133" s="8"/>
      <c r="F133" s="8"/>
      <c r="G133" s="8"/>
    </row>
    <row r="134" spans="1:11" ht="12.75">
      <c r="A134" s="38" t="s">
        <v>14</v>
      </c>
      <c r="B134" s="22" t="s">
        <v>75</v>
      </c>
      <c r="C134" s="12" t="s">
        <v>120</v>
      </c>
      <c r="D134" s="8">
        <v>113.1</v>
      </c>
      <c r="E134" s="8">
        <v>36192</v>
      </c>
      <c r="F134" s="8">
        <v>19227</v>
      </c>
      <c r="G134" s="8"/>
      <c r="H134" t="s">
        <v>61</v>
      </c>
      <c r="J134" s="231"/>
      <c r="K134" s="231"/>
    </row>
    <row r="135" spans="1:11" ht="12.75">
      <c r="A135" s="38" t="s">
        <v>15</v>
      </c>
      <c r="B135" s="22" t="s">
        <v>75</v>
      </c>
      <c r="C135" s="12" t="s">
        <v>172</v>
      </c>
      <c r="D135" s="8">
        <v>172.8</v>
      </c>
      <c r="E135" s="8">
        <v>51840</v>
      </c>
      <c r="F135" s="8">
        <v>17280</v>
      </c>
      <c r="G135" s="8"/>
      <c r="H135" t="s">
        <v>62</v>
      </c>
      <c r="J135" s="231"/>
      <c r="K135" s="231"/>
    </row>
    <row r="136" spans="1:11" ht="12.75">
      <c r="A136" s="38" t="s">
        <v>16</v>
      </c>
      <c r="B136" s="22" t="s">
        <v>75</v>
      </c>
      <c r="C136" s="12" t="s">
        <v>189</v>
      </c>
      <c r="D136" s="8">
        <v>438</v>
      </c>
      <c r="E136" s="8">
        <v>118260</v>
      </c>
      <c r="F136" s="8">
        <v>31169</v>
      </c>
      <c r="G136" s="8">
        <v>4337</v>
      </c>
      <c r="H136" t="s">
        <v>62</v>
      </c>
      <c r="J136" s="231"/>
      <c r="K136" s="231"/>
    </row>
    <row r="137" spans="1:11" ht="12.75">
      <c r="A137" s="38" t="s">
        <v>17</v>
      </c>
      <c r="B137" s="22" t="s">
        <v>75</v>
      </c>
      <c r="C137" s="11" t="s">
        <v>101</v>
      </c>
      <c r="D137" s="8">
        <v>766.4</v>
      </c>
      <c r="E137" s="28">
        <v>256748</v>
      </c>
      <c r="F137" s="28">
        <f>480392-256332-208702</f>
        <v>15358</v>
      </c>
      <c r="G137" s="8">
        <f>480392-15358</f>
        <v>465034</v>
      </c>
      <c r="H137" t="s">
        <v>72</v>
      </c>
      <c r="J137" s="231"/>
      <c r="K137" s="231"/>
    </row>
    <row r="138" spans="1:12" ht="12.75">
      <c r="A138" s="38" t="s">
        <v>18</v>
      </c>
      <c r="B138" s="22" t="s">
        <v>75</v>
      </c>
      <c r="C138" s="11" t="s">
        <v>229</v>
      </c>
      <c r="D138" s="8">
        <v>145</v>
      </c>
      <c r="E138" s="28">
        <v>79750</v>
      </c>
      <c r="F138" s="6">
        <v>125501</v>
      </c>
      <c r="G138" s="8"/>
      <c r="H138" t="s">
        <v>82</v>
      </c>
      <c r="J138" s="231"/>
      <c r="K138" s="231"/>
      <c r="L138" s="100"/>
    </row>
    <row r="139" spans="1:11" ht="12.75">
      <c r="A139" s="38" t="s">
        <v>19</v>
      </c>
      <c r="B139" s="22" t="s">
        <v>75</v>
      </c>
      <c r="C139" s="11" t="s">
        <v>81</v>
      </c>
      <c r="D139" s="8">
        <v>149</v>
      </c>
      <c r="E139" s="27">
        <v>101500</v>
      </c>
      <c r="G139" s="8">
        <v>125037</v>
      </c>
      <c r="H139" t="s">
        <v>62</v>
      </c>
      <c r="J139" s="231"/>
      <c r="K139" s="231"/>
    </row>
    <row r="140" spans="1:11" ht="12.75">
      <c r="A140" s="38" t="s">
        <v>20</v>
      </c>
      <c r="B140" s="22" t="s">
        <v>75</v>
      </c>
      <c r="C140" s="11" t="s">
        <v>221</v>
      </c>
      <c r="D140" s="8">
        <v>705</v>
      </c>
      <c r="E140" s="27">
        <v>98403</v>
      </c>
      <c r="G140" s="8">
        <v>181288.87</v>
      </c>
      <c r="H140" t="s">
        <v>222</v>
      </c>
      <c r="J140" s="231"/>
      <c r="K140" s="231"/>
    </row>
    <row r="141" spans="1:11" ht="12.75">
      <c r="A141" s="38" t="s">
        <v>23</v>
      </c>
      <c r="B141" s="22" t="s">
        <v>75</v>
      </c>
      <c r="C141" s="11" t="s">
        <v>135</v>
      </c>
      <c r="D141" s="8">
        <v>34.5</v>
      </c>
      <c r="E141" s="27">
        <v>5871</v>
      </c>
      <c r="G141" s="8">
        <v>3884</v>
      </c>
      <c r="H141" t="s">
        <v>227</v>
      </c>
      <c r="J141" s="231"/>
      <c r="K141" s="231"/>
    </row>
    <row r="142" spans="1:11" ht="12.75">
      <c r="A142" s="38" t="s">
        <v>24</v>
      </c>
      <c r="B142" s="22" t="s">
        <v>75</v>
      </c>
      <c r="C142" s="11" t="s">
        <v>225</v>
      </c>
      <c r="D142" s="8">
        <v>17.7</v>
      </c>
      <c r="E142" s="27">
        <v>2655</v>
      </c>
      <c r="F142" s="6">
        <v>1098</v>
      </c>
      <c r="G142" s="8"/>
      <c r="H142" t="s">
        <v>226</v>
      </c>
      <c r="J142" s="231"/>
      <c r="K142" s="231"/>
    </row>
    <row r="143" spans="1:11" ht="12.75">
      <c r="A143" s="38" t="s">
        <v>25</v>
      </c>
      <c r="B143" s="22" t="s">
        <v>75</v>
      </c>
      <c r="C143" s="99" t="s">
        <v>242</v>
      </c>
      <c r="D143" s="8">
        <v>517.6</v>
      </c>
      <c r="E143" s="27"/>
      <c r="G143" s="8">
        <v>41480</v>
      </c>
      <c r="H143" s="100" t="s">
        <v>243</v>
      </c>
      <c r="J143" s="231"/>
      <c r="K143" s="231"/>
    </row>
    <row r="144" spans="1:11" ht="12.75">
      <c r="A144" s="38" t="s">
        <v>26</v>
      </c>
      <c r="B144" s="22" t="s">
        <v>75</v>
      </c>
      <c r="C144" s="99" t="s">
        <v>230</v>
      </c>
      <c r="D144" s="8">
        <v>628.3</v>
      </c>
      <c r="E144" s="27">
        <v>197519</v>
      </c>
      <c r="G144" s="8">
        <v>16042</v>
      </c>
      <c r="H144" s="100" t="s">
        <v>61</v>
      </c>
      <c r="J144" s="231"/>
      <c r="K144" s="231"/>
    </row>
    <row r="145" spans="1:11" ht="12" customHeight="1">
      <c r="A145" s="38" t="s">
        <v>27</v>
      </c>
      <c r="B145" s="22" t="s">
        <v>75</v>
      </c>
      <c r="C145" s="11" t="s">
        <v>93</v>
      </c>
      <c r="D145" s="8">
        <v>327.3</v>
      </c>
      <c r="E145" s="28">
        <v>78516</v>
      </c>
      <c r="F145" s="28">
        <v>52953</v>
      </c>
      <c r="G145" s="8"/>
      <c r="H145" t="s">
        <v>61</v>
      </c>
      <c r="J145" s="231"/>
      <c r="K145" s="231"/>
    </row>
    <row r="146" spans="1:11" ht="12" customHeight="1">
      <c r="A146" s="38" t="s">
        <v>28</v>
      </c>
      <c r="B146" s="22" t="s">
        <v>75</v>
      </c>
      <c r="C146" s="11" t="s">
        <v>96</v>
      </c>
      <c r="D146" s="8">
        <v>165.3</v>
      </c>
      <c r="E146" s="28">
        <v>80686</v>
      </c>
      <c r="G146" s="8">
        <v>117456</v>
      </c>
      <c r="H146" t="s">
        <v>62</v>
      </c>
      <c r="J146" s="231"/>
      <c r="K146" s="231"/>
    </row>
    <row r="147" spans="1:11" ht="12" customHeight="1">
      <c r="A147" s="38" t="s">
        <v>29</v>
      </c>
      <c r="B147" s="22" t="s">
        <v>75</v>
      </c>
      <c r="C147" s="11" t="s">
        <v>263</v>
      </c>
      <c r="D147" s="8">
        <v>104.9</v>
      </c>
      <c r="E147" s="28"/>
      <c r="G147" s="8">
        <v>18882</v>
      </c>
      <c r="H147" t="s">
        <v>61</v>
      </c>
      <c r="J147" s="231"/>
      <c r="K147" s="231"/>
    </row>
    <row r="148" spans="1:11" ht="12.75">
      <c r="A148" s="38" t="s">
        <v>30</v>
      </c>
      <c r="B148" s="22" t="s">
        <v>75</v>
      </c>
      <c r="C148" s="11" t="s">
        <v>99</v>
      </c>
      <c r="D148" s="8">
        <v>181.2</v>
      </c>
      <c r="E148" s="27"/>
      <c r="G148" s="8">
        <v>26081</v>
      </c>
      <c r="H148" t="s">
        <v>62</v>
      </c>
      <c r="J148" s="231"/>
      <c r="K148" s="231"/>
    </row>
    <row r="149" spans="1:11" ht="12.75">
      <c r="A149" s="38" t="s">
        <v>31</v>
      </c>
      <c r="B149" s="22" t="s">
        <v>75</v>
      </c>
      <c r="C149" s="11" t="s">
        <v>231</v>
      </c>
      <c r="D149" s="8">
        <v>126.5</v>
      </c>
      <c r="E149" s="27">
        <v>65018</v>
      </c>
      <c r="G149" s="8">
        <v>51084</v>
      </c>
      <c r="H149" t="s">
        <v>232</v>
      </c>
      <c r="J149" s="231"/>
      <c r="K149" s="231"/>
    </row>
    <row r="150" spans="1:11" ht="12.75">
      <c r="A150" s="38" t="s">
        <v>32</v>
      </c>
      <c r="B150" s="22" t="s">
        <v>75</v>
      </c>
      <c r="C150" s="11" t="s">
        <v>161</v>
      </c>
      <c r="D150" s="8">
        <f>(780+705)</f>
        <v>1485</v>
      </c>
      <c r="E150" s="27">
        <f>(226200+204450)</f>
        <v>430650</v>
      </c>
      <c r="F150" s="28">
        <v>85800</v>
      </c>
      <c r="G150" s="8">
        <v>137475</v>
      </c>
      <c r="H150" t="s">
        <v>162</v>
      </c>
      <c r="J150" s="231"/>
      <c r="K150" s="231"/>
    </row>
    <row r="151" spans="1:11" ht="12.75">
      <c r="A151" s="38" t="s">
        <v>33</v>
      </c>
      <c r="B151" s="22" t="s">
        <v>75</v>
      </c>
      <c r="C151" s="11" t="s">
        <v>293</v>
      </c>
      <c r="D151" s="8">
        <v>70</v>
      </c>
      <c r="E151" s="28">
        <v>18900</v>
      </c>
      <c r="F151" s="6">
        <v>4236</v>
      </c>
      <c r="G151" s="8"/>
      <c r="H151" t="s">
        <v>121</v>
      </c>
      <c r="J151" s="231"/>
      <c r="K151" s="231"/>
    </row>
    <row r="152" spans="1:11" ht="12.75">
      <c r="A152" s="38" t="s">
        <v>138</v>
      </c>
      <c r="B152" s="22" t="s">
        <v>75</v>
      </c>
      <c r="C152" s="12" t="s">
        <v>265</v>
      </c>
      <c r="D152" s="8">
        <v>224</v>
      </c>
      <c r="E152" s="28">
        <v>78400</v>
      </c>
      <c r="G152" s="8">
        <v>67200</v>
      </c>
      <c r="H152" t="s">
        <v>232</v>
      </c>
      <c r="J152" s="231"/>
      <c r="K152" s="231"/>
    </row>
    <row r="153" spans="1:11" ht="12.75">
      <c r="A153" s="38" t="s">
        <v>166</v>
      </c>
      <c r="B153" s="22" t="s">
        <v>75</v>
      </c>
      <c r="C153" s="11" t="s">
        <v>137</v>
      </c>
      <c r="D153" s="8">
        <v>1933.2</v>
      </c>
      <c r="E153" s="28">
        <v>580035.7</v>
      </c>
      <c r="F153" s="28">
        <f>(109959.6)</f>
        <v>109959.6</v>
      </c>
      <c r="G153" s="8">
        <f>(366886.6-F153)</f>
        <v>256926.99999999997</v>
      </c>
      <c r="H153" t="s">
        <v>136</v>
      </c>
      <c r="J153" s="231"/>
      <c r="K153" s="231"/>
    </row>
    <row r="154" spans="1:11" ht="12.75">
      <c r="A154" s="38" t="s">
        <v>167</v>
      </c>
      <c r="B154" s="22" t="s">
        <v>75</v>
      </c>
      <c r="C154" s="11" t="s">
        <v>102</v>
      </c>
      <c r="D154" s="8">
        <v>3822.4</v>
      </c>
      <c r="E154" s="28">
        <v>1277176</v>
      </c>
      <c r="F154" s="28">
        <f>(104436+80802+87630)</f>
        <v>272868</v>
      </c>
      <c r="G154" s="8">
        <f>(1195308-F154)</f>
        <v>922440</v>
      </c>
      <c r="H154" t="s">
        <v>62</v>
      </c>
      <c r="J154" s="231"/>
      <c r="K154" s="231"/>
    </row>
    <row r="155" spans="1:11" ht="12.75">
      <c r="A155" s="38" t="s">
        <v>168</v>
      </c>
      <c r="B155" s="22" t="s">
        <v>75</v>
      </c>
      <c r="C155" s="11" t="s">
        <v>224</v>
      </c>
      <c r="D155" s="8">
        <v>150.7</v>
      </c>
      <c r="E155" s="28">
        <v>100460</v>
      </c>
      <c r="G155" s="8">
        <v>135712</v>
      </c>
      <c r="H155" t="s">
        <v>82</v>
      </c>
      <c r="J155" s="231"/>
      <c r="K155" s="231"/>
    </row>
    <row r="156" spans="1:8" ht="12.75">
      <c r="A156" s="17"/>
      <c r="B156" s="22"/>
      <c r="C156" s="174"/>
      <c r="D156" s="8"/>
      <c r="E156" s="27"/>
      <c r="F156" s="27"/>
      <c r="G156" s="8"/>
      <c r="H156" s="33"/>
    </row>
    <row r="157" spans="1:10" s="109" customFormat="1" ht="14.25" customHeight="1" thickBot="1">
      <c r="A157" s="336" t="s">
        <v>21</v>
      </c>
      <c r="B157" s="336"/>
      <c r="C157" s="337" t="s">
        <v>21</v>
      </c>
      <c r="D157" s="338">
        <f>SUM(D134:D156)</f>
        <v>12277.9</v>
      </c>
      <c r="E157" s="338">
        <f>SUM(E134:E156)</f>
        <v>3658579.7</v>
      </c>
      <c r="F157" s="338">
        <f>SUM(F134:F156)</f>
        <v>735449.6</v>
      </c>
      <c r="G157" s="338">
        <f>SUM(G134:G156)</f>
        <v>2570359.87</v>
      </c>
      <c r="H157" s="343"/>
      <c r="J157" s="232"/>
    </row>
    <row r="158" spans="1:8" ht="13.5" customHeight="1">
      <c r="A158" s="39"/>
      <c r="B158" s="39"/>
      <c r="C158" s="39"/>
      <c r="D158" s="175"/>
      <c r="E158" s="41"/>
      <c r="F158" s="41"/>
      <c r="G158" s="41"/>
      <c r="H158" s="4"/>
    </row>
    <row r="159" spans="1:8" ht="12.75" customHeight="1">
      <c r="A159" s="308" t="s">
        <v>257</v>
      </c>
      <c r="B159" s="309"/>
      <c r="C159" s="309"/>
      <c r="D159" s="309"/>
      <c r="E159" s="309"/>
      <c r="F159" s="309"/>
      <c r="G159" s="309"/>
      <c r="H159" s="309"/>
    </row>
    <row r="160" spans="1:8" ht="13.5" customHeight="1">
      <c r="A160" s="307" t="s">
        <v>112</v>
      </c>
      <c r="B160" s="307"/>
      <c r="C160" s="307"/>
      <c r="D160" s="307"/>
      <c r="E160" s="307"/>
      <c r="F160" s="307"/>
      <c r="G160" s="307"/>
      <c r="H160" s="307"/>
    </row>
    <row r="161" ht="13.5" thickBot="1">
      <c r="A161" s="16"/>
    </row>
    <row r="162" spans="1:8" s="51" customFormat="1" ht="12.75">
      <c r="A162" s="150"/>
      <c r="B162" s="150"/>
      <c r="C162" s="151"/>
      <c r="D162" s="152" t="s">
        <v>38</v>
      </c>
      <c r="E162" s="153" t="s">
        <v>39</v>
      </c>
      <c r="F162" s="349" t="s">
        <v>48</v>
      </c>
      <c r="G162" s="350"/>
      <c r="H162" s="240"/>
    </row>
    <row r="163" spans="1:8" s="51" customFormat="1" ht="12.75">
      <c r="A163" s="48"/>
      <c r="B163" s="48"/>
      <c r="C163" s="135" t="s">
        <v>198</v>
      </c>
      <c r="D163" s="52" t="s">
        <v>41</v>
      </c>
      <c r="E163" s="55" t="s">
        <v>42</v>
      </c>
      <c r="F163" s="351" t="s">
        <v>49</v>
      </c>
      <c r="G163" s="352"/>
      <c r="H163" s="56" t="s">
        <v>50</v>
      </c>
    </row>
    <row r="164" spans="1:8" s="51" customFormat="1" ht="12.75">
      <c r="A164" s="47"/>
      <c r="B164" s="47"/>
      <c r="C164" s="57"/>
      <c r="D164" s="58" t="s">
        <v>44</v>
      </c>
      <c r="E164" s="59" t="s">
        <v>45</v>
      </c>
      <c r="F164" s="60" t="s">
        <v>46</v>
      </c>
      <c r="G164" s="62" t="s">
        <v>47</v>
      </c>
      <c r="H164" s="61"/>
    </row>
    <row r="165" spans="1:7" ht="12.75">
      <c r="A165" s="18"/>
      <c r="B165" s="12"/>
      <c r="D165" s="3"/>
      <c r="E165" s="8"/>
      <c r="F165" s="8"/>
      <c r="G165" s="8"/>
    </row>
    <row r="166" spans="1:11" ht="12.75">
      <c r="A166" s="25" t="s">
        <v>14</v>
      </c>
      <c r="B166" s="22" t="s">
        <v>75</v>
      </c>
      <c r="C166" s="11" t="s">
        <v>103</v>
      </c>
      <c r="D166" s="8">
        <v>2940</v>
      </c>
      <c r="E166" s="21">
        <v>784384</v>
      </c>
      <c r="F166" s="21">
        <f>(446166-G166)</f>
        <v>193741</v>
      </c>
      <c r="G166" s="21">
        <f>(30162+157308+64955)</f>
        <v>252425</v>
      </c>
      <c r="H166" t="s">
        <v>66</v>
      </c>
      <c r="J166" s="231"/>
      <c r="K166" s="231"/>
    </row>
    <row r="167" spans="1:11" ht="12.75">
      <c r="A167" s="25" t="s">
        <v>15</v>
      </c>
      <c r="B167" s="22" t="s">
        <v>75</v>
      </c>
      <c r="C167" s="11" t="s">
        <v>233</v>
      </c>
      <c r="D167" s="8">
        <f>(252.7+2379.44)</f>
        <v>2632.14</v>
      </c>
      <c r="E167" s="21">
        <f>(101080+622372)</f>
        <v>723452</v>
      </c>
      <c r="F167" s="21">
        <v>237944</v>
      </c>
      <c r="G167" s="21">
        <v>70756</v>
      </c>
      <c r="H167" t="s">
        <v>65</v>
      </c>
      <c r="J167" s="231"/>
      <c r="K167" s="231"/>
    </row>
    <row r="168" spans="1:11" ht="12.75">
      <c r="A168" s="25" t="s">
        <v>16</v>
      </c>
      <c r="B168" s="22" t="s">
        <v>75</v>
      </c>
      <c r="C168" s="11" t="s">
        <v>163</v>
      </c>
      <c r="D168" s="8">
        <v>226.42</v>
      </c>
      <c r="E168" s="21">
        <v>67926</v>
      </c>
      <c r="F168" s="21">
        <v>22622</v>
      </c>
      <c r="G168" s="21"/>
      <c r="H168" t="s">
        <v>139</v>
      </c>
      <c r="J168" s="231"/>
      <c r="K168" s="231"/>
    </row>
    <row r="169" spans="1:11" ht="12.75">
      <c r="A169" s="25" t="s">
        <v>17</v>
      </c>
      <c r="B169" s="22" t="s">
        <v>75</v>
      </c>
      <c r="C169" s="11" t="s">
        <v>94</v>
      </c>
      <c r="D169" s="8">
        <v>783.1</v>
      </c>
      <c r="E169" s="2">
        <v>234.93</v>
      </c>
      <c r="F169" s="112">
        <v>84408</v>
      </c>
      <c r="G169" s="21"/>
      <c r="H169" t="s">
        <v>91</v>
      </c>
      <c r="J169" s="231"/>
      <c r="K169" s="231"/>
    </row>
    <row r="170" spans="1:11" ht="12.75">
      <c r="A170" s="25" t="s">
        <v>18</v>
      </c>
      <c r="B170" s="22" t="s">
        <v>75</v>
      </c>
      <c r="C170" s="11" t="s">
        <v>237</v>
      </c>
      <c r="D170" s="8">
        <v>361</v>
      </c>
      <c r="E170" s="21">
        <v>87503</v>
      </c>
      <c r="F170" s="21">
        <v>23604</v>
      </c>
      <c r="G170" s="14"/>
      <c r="H170" t="s">
        <v>125</v>
      </c>
      <c r="J170" s="231"/>
      <c r="K170" s="231"/>
    </row>
    <row r="171" spans="1:11" ht="12.75">
      <c r="A171" s="25" t="s">
        <v>19</v>
      </c>
      <c r="B171" s="22" t="s">
        <v>75</v>
      </c>
      <c r="C171" s="11" t="s">
        <v>104</v>
      </c>
      <c r="D171" s="8">
        <v>300.4</v>
      </c>
      <c r="E171" s="20">
        <v>114250</v>
      </c>
      <c r="G171" s="20">
        <v>89669</v>
      </c>
      <c r="H171" t="s">
        <v>64</v>
      </c>
      <c r="J171" s="231"/>
      <c r="K171" s="231"/>
    </row>
    <row r="172" spans="1:11" ht="12.75">
      <c r="A172" s="25" t="s">
        <v>20</v>
      </c>
      <c r="B172" s="22" t="s">
        <v>75</v>
      </c>
      <c r="C172" s="11" t="s">
        <v>165</v>
      </c>
      <c r="D172" s="8">
        <v>452.4</v>
      </c>
      <c r="E172" s="27">
        <v>221225</v>
      </c>
      <c r="F172" s="6">
        <v>163399</v>
      </c>
      <c r="G172" s="27"/>
      <c r="H172" t="s">
        <v>64</v>
      </c>
      <c r="J172" s="231"/>
      <c r="K172" s="231"/>
    </row>
    <row r="173" spans="1:11" ht="12.75">
      <c r="A173" s="25" t="s">
        <v>23</v>
      </c>
      <c r="B173" s="22" t="s">
        <v>75</v>
      </c>
      <c r="C173" s="11" t="s">
        <v>140</v>
      </c>
      <c r="D173" s="8">
        <v>236</v>
      </c>
      <c r="E173" s="27"/>
      <c r="F173" s="6">
        <v>33061</v>
      </c>
      <c r="G173" s="27"/>
      <c r="H173" t="s">
        <v>64</v>
      </c>
      <c r="J173" s="231"/>
      <c r="K173" s="231"/>
    </row>
    <row r="174" spans="1:11" ht="12.75">
      <c r="A174" s="25" t="s">
        <v>24</v>
      </c>
      <c r="B174" s="22" t="s">
        <v>75</v>
      </c>
      <c r="C174" s="11" t="s">
        <v>185</v>
      </c>
      <c r="D174" s="8">
        <f>(198.5+464.3)</f>
        <v>662.8</v>
      </c>
      <c r="E174" s="20">
        <f>(59550+130004)</f>
        <v>189554</v>
      </c>
      <c r="F174" s="20">
        <f>(29775+46430)</f>
        <v>76205</v>
      </c>
      <c r="G174" s="20"/>
      <c r="H174" t="s">
        <v>63</v>
      </c>
      <c r="J174" s="231"/>
      <c r="K174" s="231"/>
    </row>
    <row r="175" spans="1:11" ht="12.75">
      <c r="A175" s="25" t="s">
        <v>25</v>
      </c>
      <c r="B175" s="22" t="s">
        <v>75</v>
      </c>
      <c r="C175" s="80" t="s">
        <v>170</v>
      </c>
      <c r="D175" s="8">
        <f>(471.6+17.6+37.1)</f>
        <v>526.3000000000001</v>
      </c>
      <c r="E175" s="20">
        <f>(141148+4400+8462)</f>
        <v>154010</v>
      </c>
      <c r="F175" s="20">
        <f>(47160+2597)</f>
        <v>49757</v>
      </c>
      <c r="G175" s="20">
        <v>1212</v>
      </c>
      <c r="H175" t="s">
        <v>91</v>
      </c>
      <c r="J175" s="231"/>
      <c r="K175" s="231"/>
    </row>
    <row r="176" spans="1:11" s="74" customFormat="1" ht="12.75">
      <c r="A176" s="25" t="s">
        <v>26</v>
      </c>
      <c r="B176" s="22" t="s">
        <v>75</v>
      </c>
      <c r="C176" s="97" t="s">
        <v>186</v>
      </c>
      <c r="D176" s="8">
        <v>144.5</v>
      </c>
      <c r="E176" s="69">
        <v>33235</v>
      </c>
      <c r="G176" s="69">
        <v>28900</v>
      </c>
      <c r="H176" s="74" t="s">
        <v>187</v>
      </c>
      <c r="J176" s="231"/>
      <c r="K176" s="231"/>
    </row>
    <row r="177" spans="1:11" s="74" customFormat="1" ht="12.75">
      <c r="A177" s="25" t="s">
        <v>27</v>
      </c>
      <c r="B177" s="22" t="s">
        <v>75</v>
      </c>
      <c r="C177" s="104" t="s">
        <v>299</v>
      </c>
      <c r="D177" s="8">
        <v>202.83</v>
      </c>
      <c r="E177" s="69">
        <v>50250</v>
      </c>
      <c r="G177" s="69">
        <v>16710</v>
      </c>
      <c r="H177" s="100" t="s">
        <v>91</v>
      </c>
      <c r="J177" s="231"/>
      <c r="K177" s="231"/>
    </row>
    <row r="178" spans="1:11" ht="12.75">
      <c r="A178" s="25" t="s">
        <v>28</v>
      </c>
      <c r="B178" s="22" t="s">
        <v>75</v>
      </c>
      <c r="C178" s="80" t="s">
        <v>264</v>
      </c>
      <c r="D178" s="8">
        <v>439.37</v>
      </c>
      <c r="E178" s="20">
        <v>120675</v>
      </c>
      <c r="F178" s="20">
        <v>39439.8</v>
      </c>
      <c r="G178" s="20"/>
      <c r="H178" t="s">
        <v>63</v>
      </c>
      <c r="J178" s="231"/>
      <c r="K178" s="231"/>
    </row>
    <row r="179" spans="1:11" s="100" customFormat="1" ht="12.75">
      <c r="A179" s="25" t="s">
        <v>29</v>
      </c>
      <c r="B179" s="22" t="s">
        <v>75</v>
      </c>
      <c r="C179" s="104" t="s">
        <v>164</v>
      </c>
      <c r="D179" s="8">
        <v>4302.1</v>
      </c>
      <c r="E179" s="103">
        <v>1653429</v>
      </c>
      <c r="F179" s="121">
        <f>(1204761-G179)</f>
        <v>624382</v>
      </c>
      <c r="G179" s="103">
        <v>580379</v>
      </c>
      <c r="H179" s="100" t="s">
        <v>65</v>
      </c>
      <c r="J179" s="231"/>
      <c r="K179" s="231"/>
    </row>
    <row r="180" spans="1:11" ht="12.75">
      <c r="A180" s="25" t="s">
        <v>30</v>
      </c>
      <c r="B180" s="22" t="s">
        <v>75</v>
      </c>
      <c r="C180" s="11" t="s">
        <v>124</v>
      </c>
      <c r="D180" s="8">
        <v>1357.9</v>
      </c>
      <c r="E180" s="28">
        <v>329775</v>
      </c>
      <c r="F180" s="28">
        <v>62074</v>
      </c>
      <c r="G180" s="20"/>
      <c r="H180" t="s">
        <v>125</v>
      </c>
      <c r="J180" s="231"/>
      <c r="K180" s="231"/>
    </row>
    <row r="181" spans="1:11" ht="12.75">
      <c r="A181" s="25" t="s">
        <v>31</v>
      </c>
      <c r="B181" s="22" t="s">
        <v>75</v>
      </c>
      <c r="C181" s="11" t="s">
        <v>234</v>
      </c>
      <c r="D181" s="8">
        <v>1898</v>
      </c>
      <c r="E181" s="28">
        <v>567920</v>
      </c>
      <c r="F181" s="28">
        <v>211732</v>
      </c>
      <c r="G181" s="20"/>
      <c r="H181" t="s">
        <v>236</v>
      </c>
      <c r="J181" s="231"/>
      <c r="K181" s="231"/>
    </row>
    <row r="182" spans="1:7" ht="12.75">
      <c r="A182" s="25"/>
      <c r="B182" s="22"/>
      <c r="C182" s="11"/>
      <c r="D182" s="8"/>
      <c r="E182" s="21"/>
      <c r="F182" s="27"/>
      <c r="G182" s="27"/>
    </row>
    <row r="183" spans="1:10" s="109" customFormat="1" ht="15.75" customHeight="1" thickBot="1">
      <c r="A183" s="336" t="s">
        <v>21</v>
      </c>
      <c r="B183" s="336"/>
      <c r="C183" s="337"/>
      <c r="D183" s="353">
        <f>SUM(D166:D182)</f>
        <v>17465.26</v>
      </c>
      <c r="E183" s="353">
        <f>SUM(E166:E182)</f>
        <v>5097822.93</v>
      </c>
      <c r="F183" s="353">
        <f>SUM(F166:F182)</f>
        <v>1822368.8</v>
      </c>
      <c r="G183" s="353">
        <f>SUM(G166:G182)</f>
        <v>1040051</v>
      </c>
      <c r="H183" s="354"/>
      <c r="J183" s="232"/>
    </row>
    <row r="184" spans="1:8" ht="16.5" customHeight="1">
      <c r="A184" s="42"/>
      <c r="B184" s="42"/>
      <c r="C184" s="42"/>
      <c r="D184" s="40"/>
      <c r="E184" s="40"/>
      <c r="F184" s="40"/>
      <c r="G184" s="40"/>
      <c r="H184" s="42"/>
    </row>
    <row r="185" spans="1:8" ht="15.75" customHeight="1">
      <c r="A185" s="308" t="s">
        <v>257</v>
      </c>
      <c r="B185" s="309"/>
      <c r="C185" s="309"/>
      <c r="D185" s="309"/>
      <c r="E185" s="309"/>
      <c r="F185" s="309"/>
      <c r="G185" s="309"/>
      <c r="H185" s="309"/>
    </row>
    <row r="186" spans="1:8" ht="13.5" customHeight="1">
      <c r="A186" s="306" t="s">
        <v>113</v>
      </c>
      <c r="B186" s="307"/>
      <c r="C186" s="307"/>
      <c r="D186" s="307"/>
      <c r="E186" s="307"/>
      <c r="F186" s="307"/>
      <c r="G186" s="307"/>
      <c r="H186" s="307"/>
    </row>
    <row r="187" ht="13.5" thickBot="1">
      <c r="A187" s="16"/>
    </row>
    <row r="188" spans="1:8" s="51" customFormat="1" ht="12.75">
      <c r="A188" s="150"/>
      <c r="B188" s="150"/>
      <c r="C188" s="151"/>
      <c r="D188" s="152" t="s">
        <v>38</v>
      </c>
      <c r="E188" s="153" t="s">
        <v>39</v>
      </c>
      <c r="F188" s="349" t="s">
        <v>48</v>
      </c>
      <c r="G188" s="350"/>
      <c r="H188" s="240"/>
    </row>
    <row r="189" spans="1:8" s="51" customFormat="1" ht="12.75">
      <c r="A189" s="48"/>
      <c r="B189" s="48"/>
      <c r="C189" s="135" t="s">
        <v>199</v>
      </c>
      <c r="D189" s="52" t="s">
        <v>41</v>
      </c>
      <c r="E189" s="55" t="s">
        <v>42</v>
      </c>
      <c r="F189" s="351" t="s">
        <v>49</v>
      </c>
      <c r="G189" s="352"/>
      <c r="H189" s="56" t="s">
        <v>50</v>
      </c>
    </row>
    <row r="190" spans="1:8" s="51" customFormat="1" ht="12.75">
      <c r="A190" s="47"/>
      <c r="B190" s="47"/>
      <c r="C190" s="57"/>
      <c r="D190" s="58" t="s">
        <v>44</v>
      </c>
      <c r="E190" s="59" t="s">
        <v>45</v>
      </c>
      <c r="F190" s="60" t="s">
        <v>46</v>
      </c>
      <c r="G190" s="62" t="s">
        <v>47</v>
      </c>
      <c r="H190" s="61"/>
    </row>
    <row r="191" spans="1:8" ht="12.75">
      <c r="A191" s="16"/>
      <c r="B191" s="12"/>
      <c r="C191" s="4"/>
      <c r="D191" s="78"/>
      <c r="E191" s="7"/>
      <c r="F191" s="10"/>
      <c r="G191" s="29"/>
      <c r="H191" s="5"/>
    </row>
    <row r="192" spans="1:11" ht="12.75">
      <c r="A192" s="25" t="s">
        <v>14</v>
      </c>
      <c r="B192" s="22" t="s">
        <v>75</v>
      </c>
      <c r="C192" s="12" t="s">
        <v>190</v>
      </c>
      <c r="D192" s="8">
        <v>9005.2</v>
      </c>
      <c r="E192" s="32">
        <v>2241520</v>
      </c>
      <c r="F192" s="101">
        <v>978679</v>
      </c>
      <c r="G192" s="29"/>
      <c r="H192" s="5" t="s">
        <v>67</v>
      </c>
      <c r="J192" s="231"/>
      <c r="K192" s="231"/>
    </row>
    <row r="193" spans="1:11" s="100" customFormat="1" ht="12.75">
      <c r="A193" s="25" t="s">
        <v>15</v>
      </c>
      <c r="B193" s="22" t="s">
        <v>75</v>
      </c>
      <c r="C193" s="98" t="s">
        <v>191</v>
      </c>
      <c r="D193" s="8">
        <v>2338.4</v>
      </c>
      <c r="E193" s="32">
        <v>580755</v>
      </c>
      <c r="F193" s="101">
        <v>170091</v>
      </c>
      <c r="G193" s="29">
        <v>144620</v>
      </c>
      <c r="H193" s="5" t="s">
        <v>67</v>
      </c>
      <c r="J193" s="231"/>
      <c r="K193" s="231"/>
    </row>
    <row r="194" spans="1:11" s="100" customFormat="1" ht="12.75">
      <c r="A194" s="25" t="s">
        <v>16</v>
      </c>
      <c r="B194" s="22" t="s">
        <v>75</v>
      </c>
      <c r="C194" s="98" t="s">
        <v>294</v>
      </c>
      <c r="D194" s="8">
        <v>25.83</v>
      </c>
      <c r="E194" s="32">
        <v>7540</v>
      </c>
      <c r="F194" s="101">
        <v>2717</v>
      </c>
      <c r="G194" s="29"/>
      <c r="H194" t="s">
        <v>141</v>
      </c>
      <c r="J194" s="231"/>
      <c r="K194" s="231"/>
    </row>
    <row r="195" spans="1:11" s="100" customFormat="1" ht="12.75">
      <c r="A195" s="25" t="s">
        <v>17</v>
      </c>
      <c r="B195" s="22" t="s">
        <v>75</v>
      </c>
      <c r="C195" s="99" t="s">
        <v>192</v>
      </c>
      <c r="D195" s="8">
        <v>1767</v>
      </c>
      <c r="E195" s="101">
        <v>360510</v>
      </c>
      <c r="F195" s="101">
        <v>47808</v>
      </c>
      <c r="G195" s="102">
        <v>212532</v>
      </c>
      <c r="H195" s="90" t="s">
        <v>67</v>
      </c>
      <c r="J195" s="231"/>
      <c r="K195" s="231"/>
    </row>
    <row r="196" spans="1:11" ht="12.75">
      <c r="A196" s="25" t="s">
        <v>18</v>
      </c>
      <c r="B196" s="22" t="s">
        <v>75</v>
      </c>
      <c r="C196" s="11" t="s">
        <v>188</v>
      </c>
      <c r="D196" s="8">
        <v>3320.9</v>
      </c>
      <c r="E196" s="27">
        <f>(1270575+2925)</f>
        <v>1273500</v>
      </c>
      <c r="G196" s="27">
        <v>1108637</v>
      </c>
      <c r="H196" t="s">
        <v>67</v>
      </c>
      <c r="J196" s="231"/>
      <c r="K196" s="231"/>
    </row>
    <row r="197" spans="1:11" ht="12.75">
      <c r="A197" s="25" t="s">
        <v>19</v>
      </c>
      <c r="B197" s="22" t="s">
        <v>75</v>
      </c>
      <c r="C197" s="11" t="s">
        <v>175</v>
      </c>
      <c r="D197" s="8">
        <v>1065.4</v>
      </c>
      <c r="E197" s="6">
        <v>271677</v>
      </c>
      <c r="F197" s="27">
        <v>106540</v>
      </c>
      <c r="G197" s="28"/>
      <c r="H197" t="s">
        <v>143</v>
      </c>
      <c r="J197" s="231"/>
      <c r="K197" s="231"/>
    </row>
    <row r="198" spans="1:11" ht="12.75">
      <c r="A198" s="25" t="s">
        <v>20</v>
      </c>
      <c r="B198" s="22" t="s">
        <v>75</v>
      </c>
      <c r="C198" s="11" t="s">
        <v>295</v>
      </c>
      <c r="D198" s="8">
        <v>763.6</v>
      </c>
      <c r="E198" s="6">
        <v>198536</v>
      </c>
      <c r="F198" s="27">
        <v>76360</v>
      </c>
      <c r="G198" s="28"/>
      <c r="H198" t="s">
        <v>67</v>
      </c>
      <c r="J198" s="231"/>
      <c r="K198" s="231"/>
    </row>
    <row r="199" spans="1:11" ht="12.75">
      <c r="A199" s="25" t="s">
        <v>23</v>
      </c>
      <c r="B199" s="22" t="s">
        <v>75</v>
      </c>
      <c r="C199" s="11" t="s">
        <v>296</v>
      </c>
      <c r="D199" s="8">
        <v>481.7</v>
      </c>
      <c r="E199" s="6">
        <v>130059</v>
      </c>
      <c r="F199" s="27">
        <v>50441</v>
      </c>
      <c r="G199" s="28"/>
      <c r="H199" t="s">
        <v>143</v>
      </c>
      <c r="J199" s="231"/>
      <c r="K199" s="231"/>
    </row>
    <row r="200" spans="1:11" ht="12.75">
      <c r="A200" s="25" t="s">
        <v>24</v>
      </c>
      <c r="B200" s="22" t="s">
        <v>75</v>
      </c>
      <c r="C200" s="11" t="s">
        <v>146</v>
      </c>
      <c r="D200" s="8">
        <v>2296.9</v>
      </c>
      <c r="E200" s="27">
        <v>590600</v>
      </c>
      <c r="F200" s="27">
        <f>(289497-G200)</f>
        <v>166297</v>
      </c>
      <c r="G200" s="28">
        <v>123200</v>
      </c>
      <c r="H200" t="s">
        <v>141</v>
      </c>
      <c r="J200" s="231"/>
      <c r="K200" s="231"/>
    </row>
    <row r="201" spans="1:11" ht="12.75">
      <c r="A201" s="25" t="s">
        <v>25</v>
      </c>
      <c r="B201" s="22" t="s">
        <v>75</v>
      </c>
      <c r="C201" s="11" t="s">
        <v>142</v>
      </c>
      <c r="D201" s="8">
        <v>1442.3</v>
      </c>
      <c r="E201" s="27">
        <v>368485</v>
      </c>
      <c r="F201" s="27">
        <v>13715</v>
      </c>
      <c r="G201" s="28">
        <v>295657</v>
      </c>
      <c r="H201" t="s">
        <v>143</v>
      </c>
      <c r="J201" s="231"/>
      <c r="K201" s="231"/>
    </row>
    <row r="202" spans="1:11" ht="12.75">
      <c r="A202" s="25" t="s">
        <v>26</v>
      </c>
      <c r="B202" s="22" t="s">
        <v>75</v>
      </c>
      <c r="C202" s="11" t="s">
        <v>144</v>
      </c>
      <c r="D202" s="8">
        <v>218.92</v>
      </c>
      <c r="E202" s="20">
        <v>53582</v>
      </c>
      <c r="F202" s="20">
        <v>20144</v>
      </c>
      <c r="G202" s="20"/>
      <c r="H202" t="s">
        <v>143</v>
      </c>
      <c r="J202" s="231"/>
      <c r="K202" s="231"/>
    </row>
    <row r="203" spans="1:11" ht="12.75">
      <c r="A203" s="25" t="s">
        <v>27</v>
      </c>
      <c r="B203" s="22" t="s">
        <v>75</v>
      </c>
      <c r="C203" s="11" t="s">
        <v>297</v>
      </c>
      <c r="D203" s="8">
        <v>1176</v>
      </c>
      <c r="E203" s="20">
        <v>296300</v>
      </c>
      <c r="F203" s="20">
        <v>99960</v>
      </c>
      <c r="G203" s="20"/>
      <c r="H203" t="s">
        <v>67</v>
      </c>
      <c r="J203" s="231"/>
      <c r="K203" s="231"/>
    </row>
    <row r="204" spans="1:7" ht="12.75">
      <c r="A204" s="26"/>
      <c r="B204" s="22"/>
      <c r="C204" s="11"/>
      <c r="D204" s="8"/>
      <c r="E204" s="20"/>
      <c r="F204" s="20"/>
      <c r="G204" s="20"/>
    </row>
    <row r="205" spans="1:10" ht="15" customHeight="1" thickBot="1">
      <c r="A205" s="355"/>
      <c r="B205" s="356"/>
      <c r="C205" s="293" t="s">
        <v>21</v>
      </c>
      <c r="D205" s="338">
        <f>SUM(D192:D204)</f>
        <v>23902.15</v>
      </c>
      <c r="E205" s="338">
        <f>SUM(E192:E204)</f>
        <v>6373064</v>
      </c>
      <c r="F205" s="338">
        <f>SUM(F192:F204)</f>
        <v>1732752</v>
      </c>
      <c r="G205" s="338">
        <f>SUM(G192:G204)</f>
        <v>1884646</v>
      </c>
      <c r="H205" s="357"/>
      <c r="J205" s="233"/>
    </row>
    <row r="207" ht="12.75">
      <c r="A207" s="37" t="s">
        <v>306</v>
      </c>
    </row>
    <row r="208" spans="1:7" ht="12.75">
      <c r="A208" s="120" t="s">
        <v>88</v>
      </c>
      <c r="C208" s="11"/>
      <c r="D208" s="11"/>
      <c r="E208" s="11"/>
      <c r="F208" s="11"/>
      <c r="G208" s="11"/>
    </row>
    <row r="209" spans="3:7" ht="12.75">
      <c r="C209" s="11" t="s">
        <v>307</v>
      </c>
      <c r="D209" s="11"/>
      <c r="E209" s="11"/>
      <c r="F209" s="11"/>
      <c r="G209" s="11"/>
    </row>
    <row r="210" spans="1:7" ht="12.75">
      <c r="A210" s="23"/>
      <c r="C210" s="11"/>
      <c r="D210" s="11"/>
      <c r="E210" s="11"/>
      <c r="F210" s="11"/>
      <c r="G210" s="11"/>
    </row>
  </sheetData>
  <sheetProtection/>
  <mergeCells count="27">
    <mergeCell ref="A157:C157"/>
    <mergeCell ref="A125:C125"/>
    <mergeCell ref="A92:H92"/>
    <mergeCell ref="F96:G96"/>
    <mergeCell ref="A1:H1"/>
    <mergeCell ref="A2:H2"/>
    <mergeCell ref="A30:H30"/>
    <mergeCell ref="A31:H31"/>
    <mergeCell ref="F4:G4"/>
    <mergeCell ref="F5:G5"/>
    <mergeCell ref="A28:C28"/>
    <mergeCell ref="A186:H186"/>
    <mergeCell ref="A159:H159"/>
    <mergeCell ref="A160:H160"/>
    <mergeCell ref="F33:G33"/>
    <mergeCell ref="F34:G34"/>
    <mergeCell ref="F65:G65"/>
    <mergeCell ref="F66:G66"/>
    <mergeCell ref="A62:H62"/>
    <mergeCell ref="A63:H63"/>
    <mergeCell ref="A183:C183"/>
    <mergeCell ref="A127:H127"/>
    <mergeCell ref="A128:H128"/>
    <mergeCell ref="A185:H185"/>
    <mergeCell ref="A90:C90"/>
    <mergeCell ref="A93:H93"/>
    <mergeCell ref="F95:G95"/>
  </mergeCells>
  <printOptions horizontalCentered="1"/>
  <pageMargins left="0.5905511811023623" right="0.5905511811023623" top="0.7874015748031497" bottom="0.5905511811023623" header="0.2362204724409449" footer="0.11811023622047245"/>
  <pageSetup firstPageNumber="126" useFirstPageNumber="1" horizontalDpi="1200" verticalDpi="1200" orientation="portrait" paperSize="9" scale="75" r:id="rId1"/>
  <headerFooter alignWithMargins="0">
    <oddFooter xml:space="preserve">&amp;C&amp;8&amp;P </oddFooter>
  </headerFooter>
  <rowBreaks count="3" manualBreakCount="3">
    <brk id="60" max="255" man="1"/>
    <brk id="125" max="255" man="1"/>
    <brk id="1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view="pageBreakPreview" zoomScaleSheetLayoutView="100" zoomScalePageLayoutView="0" workbookViewId="0" topLeftCell="A1">
      <selection activeCell="M22" sqref="M22"/>
    </sheetView>
  </sheetViews>
  <sheetFormatPr defaultColWidth="11.57421875" defaultRowHeight="12.75"/>
  <cols>
    <col min="1" max="1" width="11.00390625" style="100" customWidth="1"/>
    <col min="2" max="3" width="14.140625" style="100" customWidth="1"/>
    <col min="4" max="4" width="5.7109375" style="100" customWidth="1"/>
    <col min="5" max="5" width="6.28125" style="100" customWidth="1"/>
    <col min="6" max="6" width="5.7109375" style="100" customWidth="1"/>
    <col min="7" max="7" width="6.140625" style="100" customWidth="1"/>
    <col min="8" max="8" width="5.7109375" style="100" customWidth="1"/>
    <col min="9" max="9" width="5.140625" style="100" customWidth="1"/>
    <col min="10" max="10" width="5.7109375" style="100" customWidth="1"/>
    <col min="11" max="11" width="10.421875" style="100" customWidth="1"/>
    <col min="12" max="12" width="5.7109375" style="100" customWidth="1"/>
    <col min="13" max="13" width="7.421875" style="100" customWidth="1"/>
    <col min="14" max="16384" width="11.57421875" style="100" customWidth="1"/>
  </cols>
  <sheetData>
    <row r="1" spans="1:13" ht="75.75" customHeight="1">
      <c r="A1" s="319" t="s">
        <v>258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45"/>
      <c r="M1" s="45"/>
    </row>
    <row r="2" spans="1:11" ht="12.7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24.75" customHeight="1">
      <c r="A3" s="87"/>
      <c r="B3" s="87" t="s">
        <v>202</v>
      </c>
      <c r="C3" s="87"/>
      <c r="D3" s="320" t="s">
        <v>74</v>
      </c>
      <c r="E3" s="321"/>
      <c r="F3" s="321"/>
      <c r="G3" s="322"/>
      <c r="H3" s="320" t="s">
        <v>73</v>
      </c>
      <c r="I3" s="321"/>
      <c r="J3" s="321"/>
      <c r="K3" s="321"/>
    </row>
    <row r="4" spans="1:11" ht="26.25" customHeight="1">
      <c r="A4" s="88" t="s">
        <v>68</v>
      </c>
      <c r="B4" s="88"/>
      <c r="C4" s="88"/>
      <c r="D4" s="316">
        <v>1</v>
      </c>
      <c r="E4" s="317"/>
      <c r="F4" s="317"/>
      <c r="G4" s="318"/>
      <c r="H4" s="316">
        <v>1</v>
      </c>
      <c r="I4" s="317"/>
      <c r="J4" s="317"/>
      <c r="K4" s="317"/>
    </row>
    <row r="5" spans="1:11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</sheetData>
  <sheetProtection/>
  <mergeCells count="5">
    <mergeCell ref="D4:G4"/>
    <mergeCell ref="H4:K4"/>
    <mergeCell ref="A1:K1"/>
    <mergeCell ref="D3:G3"/>
    <mergeCell ref="H3:K3"/>
  </mergeCells>
  <printOptions horizontalCentered="1"/>
  <pageMargins left="0.5905511811023623" right="0.5905511811023623" top="0.7874015748031497" bottom="1.1811023622047245" header="0.2362204724409449" footer="0.11811023622047245"/>
  <pageSetup firstPageNumber="130" useFirstPageNumber="1" horizontalDpi="1200" verticalDpi="1200" orientation="portrait" paperSize="9" r:id="rId1"/>
  <headerFooter alignWithMargins="0">
    <oddFooter xml:space="preserve">&amp;C&amp;8&amp;P&amp;10 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showZeros="0" tabSelected="1" view="pageBreakPreview" zoomScale="130" zoomScaleSheetLayoutView="130" zoomScalePageLayoutView="0" workbookViewId="0" topLeftCell="A1">
      <selection activeCell="D25" sqref="D25"/>
    </sheetView>
  </sheetViews>
  <sheetFormatPr defaultColWidth="11.57421875" defaultRowHeight="12.75"/>
  <cols>
    <col min="1" max="1" width="3.00390625" style="99" customWidth="1"/>
    <col min="2" max="2" width="1.57421875" style="99" customWidth="1"/>
    <col min="3" max="3" width="37.8515625" style="100" customWidth="1"/>
    <col min="4" max="4" width="9.28125" style="100" customWidth="1"/>
    <col min="5" max="5" width="14.28125" style="100" customWidth="1"/>
    <col min="6" max="6" width="11.00390625" style="100" customWidth="1"/>
    <col min="7" max="7" width="13.140625" style="100" customWidth="1"/>
    <col min="8" max="8" width="19.57421875" style="100" customWidth="1"/>
    <col min="9" max="16384" width="11.57421875" style="100" customWidth="1"/>
  </cols>
  <sheetData>
    <row r="1" spans="1:8" ht="13.5" customHeight="1">
      <c r="A1" s="319" t="s">
        <v>115</v>
      </c>
      <c r="B1" s="325"/>
      <c r="C1" s="325"/>
      <c r="D1" s="325"/>
      <c r="E1" s="325"/>
      <c r="F1" s="325"/>
      <c r="G1" s="325"/>
      <c r="H1" s="325"/>
    </row>
    <row r="2" spans="1:8" ht="14.25" customHeight="1">
      <c r="A2" s="319" t="s">
        <v>259</v>
      </c>
      <c r="B2" s="325"/>
      <c r="C2" s="325"/>
      <c r="D2" s="325"/>
      <c r="E2" s="325"/>
      <c r="F2" s="325"/>
      <c r="G2" s="325"/>
      <c r="H2" s="325"/>
    </row>
    <row r="3" spans="1:8" ht="13.5" thickBot="1">
      <c r="A3" s="84"/>
      <c r="B3" s="84"/>
      <c r="C3" s="168"/>
      <c r="D3" s="168"/>
      <c r="E3" s="168"/>
      <c r="F3" s="168"/>
      <c r="G3" s="168"/>
      <c r="H3" s="168"/>
    </row>
    <row r="4" spans="1:8" ht="12.75">
      <c r="A4" s="283"/>
      <c r="B4" s="154"/>
      <c r="C4" s="155"/>
      <c r="D4" s="156" t="s">
        <v>38</v>
      </c>
      <c r="E4" s="156" t="s">
        <v>39</v>
      </c>
      <c r="F4" s="326" t="s">
        <v>0</v>
      </c>
      <c r="G4" s="327"/>
      <c r="H4" s="284"/>
    </row>
    <row r="5" spans="1:8" ht="12.75">
      <c r="A5" s="84"/>
      <c r="B5" s="157"/>
      <c r="C5" s="158" t="s">
        <v>200</v>
      </c>
      <c r="D5" s="93" t="s">
        <v>41</v>
      </c>
      <c r="E5" s="93" t="s">
        <v>42</v>
      </c>
      <c r="F5" s="328" t="s">
        <v>1</v>
      </c>
      <c r="G5" s="329"/>
      <c r="H5" s="285" t="s">
        <v>50</v>
      </c>
    </row>
    <row r="6" spans="1:8" ht="12.75">
      <c r="A6" s="286"/>
      <c r="B6" s="159"/>
      <c r="C6" s="158"/>
      <c r="D6" s="93" t="s">
        <v>44</v>
      </c>
      <c r="E6" s="93" t="s">
        <v>45</v>
      </c>
      <c r="F6" s="176" t="s">
        <v>69</v>
      </c>
      <c r="G6" s="92" t="s">
        <v>70</v>
      </c>
      <c r="H6" s="287"/>
    </row>
    <row r="7" spans="1:8" ht="13.5" customHeight="1">
      <c r="A7" s="84"/>
      <c r="B7" s="359"/>
      <c r="C7" s="358"/>
      <c r="D7" s="140"/>
      <c r="E7" s="140"/>
      <c r="F7" s="140"/>
      <c r="G7" s="140"/>
      <c r="H7" s="288"/>
    </row>
    <row r="8" spans="1:8" ht="12.75">
      <c r="A8" s="289" t="s">
        <v>14</v>
      </c>
      <c r="B8" s="160" t="s">
        <v>75</v>
      </c>
      <c r="C8" s="216" t="s">
        <v>302</v>
      </c>
      <c r="D8" s="228">
        <v>5.24</v>
      </c>
      <c r="E8" s="107">
        <v>3499</v>
      </c>
      <c r="F8" s="107"/>
      <c r="G8" s="107">
        <v>15910</v>
      </c>
      <c r="H8" s="292" t="s">
        <v>308</v>
      </c>
    </row>
    <row r="9" spans="1:8" ht="12.75">
      <c r="A9" s="278"/>
      <c r="B9" s="360"/>
      <c r="C9" s="286"/>
      <c r="D9" s="179"/>
      <c r="E9" s="161"/>
      <c r="F9" s="161"/>
      <c r="G9" s="161"/>
      <c r="H9" s="88"/>
    </row>
    <row r="10" spans="1:8" ht="15.75" customHeight="1" thickBot="1">
      <c r="A10" s="290"/>
      <c r="B10" s="323" t="s">
        <v>21</v>
      </c>
      <c r="C10" s="324"/>
      <c r="D10" s="229">
        <f>SUM(D8:D8)</f>
        <v>5.24</v>
      </c>
      <c r="E10" s="177">
        <f>SUM(E8:E8)</f>
        <v>3499</v>
      </c>
      <c r="F10" s="177">
        <f>SUM(F8:F8)</f>
        <v>0</v>
      </c>
      <c r="G10" s="177">
        <f>SUM(G8:G8)</f>
        <v>15910</v>
      </c>
      <c r="H10" s="291"/>
    </row>
    <row r="11" spans="1:8" ht="12.75">
      <c r="A11" s="84"/>
      <c r="B11" s="84"/>
      <c r="C11" s="168"/>
      <c r="D11" s="168"/>
      <c r="E11" s="168"/>
      <c r="F11" s="168"/>
      <c r="G11" s="168"/>
      <c r="H11" s="168"/>
    </row>
    <row r="12" spans="1:8" ht="13.5" customHeight="1">
      <c r="A12" s="281" t="s">
        <v>193</v>
      </c>
      <c r="B12" s="84"/>
      <c r="C12" s="84"/>
      <c r="D12" s="84"/>
      <c r="E12" s="84"/>
      <c r="F12" s="84"/>
      <c r="G12" s="84"/>
      <c r="H12" s="168"/>
    </row>
    <row r="13" spans="1:8" ht="12.75">
      <c r="A13" s="282" t="s">
        <v>88</v>
      </c>
      <c r="B13" s="84"/>
      <c r="C13" s="84"/>
      <c r="D13" s="84"/>
      <c r="E13" s="84"/>
      <c r="F13" s="84"/>
      <c r="G13" s="84"/>
      <c r="H13" s="168"/>
    </row>
    <row r="14" spans="1:8" ht="12.75">
      <c r="A14" s="81"/>
      <c r="B14" s="81"/>
      <c r="C14" s="35"/>
      <c r="D14" s="35"/>
      <c r="E14" s="35"/>
      <c r="F14" s="35"/>
      <c r="G14" s="35"/>
      <c r="H14" s="35"/>
    </row>
  </sheetData>
  <sheetProtection/>
  <mergeCells count="5">
    <mergeCell ref="B10:C10"/>
    <mergeCell ref="A2:H2"/>
    <mergeCell ref="A1:H1"/>
    <mergeCell ref="F4:G4"/>
    <mergeCell ref="F5:G5"/>
  </mergeCells>
  <printOptions horizontalCentered="1"/>
  <pageMargins left="0.5905511811023623" right="0.5905511811023623" top="0.7874015748031497" bottom="0.5905511811023623" header="0.2362204724409449" footer="0.11811023622047245"/>
  <pageSetup firstPageNumber="131" useFirstPageNumber="1" horizontalDpi="1200" verticalDpi="1200" orientation="portrait" paperSize="9" scale="83" r:id="rId1"/>
  <headerFooter alignWithMargins="0">
    <oddFooter xml:space="preserve">&amp;C&amp;8&amp;P&amp;10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marco.aurelio</cp:lastModifiedBy>
  <cp:lastPrinted>2009-11-13T19:54:26Z</cp:lastPrinted>
  <dcterms:created xsi:type="dcterms:W3CDTF">1999-05-12T18:55:04Z</dcterms:created>
  <dcterms:modified xsi:type="dcterms:W3CDTF">2010-04-05T18:28:46Z</dcterms:modified>
  <cp:category/>
  <cp:version/>
  <cp:contentType/>
  <cp:contentStatus/>
</cp:coreProperties>
</file>